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84" yWindow="804" windowWidth="10800" windowHeight="10548" firstSheet="1" activeTab="5"/>
  </bookViews>
  <sheets>
    <sheet name="подлужный,энгельса,сосновая" sheetId="15" r:id="rId1"/>
    <sheet name="баринова" sheetId="14" r:id="rId2"/>
    <sheet name="в.котика" sheetId="13" r:id="rId3"/>
    <sheet name="задолье" sheetId="12" r:id="rId4"/>
    <sheet name="западная" sheetId="11" r:id="rId5"/>
    <sheet name="коммунистическая" sheetId="18" r:id="rId6"/>
    <sheet name="пер.,ул.Лихачева" sheetId="17" r:id="rId7"/>
    <sheet name="максимова" sheetId="16" r:id="rId8"/>
    <sheet name="махалова" sheetId="10" r:id="rId9"/>
    <sheet name="маяковского" sheetId="19" r:id="rId10"/>
    <sheet name="мира" sheetId="21" r:id="rId11"/>
    <sheet name="чугунова" sheetId="22" r:id="rId12"/>
    <sheet name="прибрежный" sheetId="20" r:id="rId13"/>
    <sheet name="1-й уч. ситники" sheetId="6" r:id="rId14"/>
    <sheet name="п.сит. ул.центральная" sheetId="8" r:id="rId15"/>
    <sheet name="п.жел. ул.ценртальная" sheetId="7" r:id="rId16"/>
    <sheet name="вокзальная" sheetId="9" r:id="rId17"/>
    <sheet name="киселихинский госпиталь" sheetId="5" r:id="rId18"/>
    <sheet name="садовая" sheetId="4" r:id="rId19"/>
    <sheet name="приречный" sheetId="3" r:id="rId20"/>
    <sheet name="октябрьская" sheetId="2" r:id="rId21"/>
    <sheet name="новостройка" sheetId="1" r:id="rId22"/>
    <sheet name="Лист1" sheetId="23" r:id="rId23"/>
  </sheets>
  <externalReferences>
    <externalReference r:id="rId24"/>
  </externalReferences>
  <calcPr calcId="144525"/>
</workbook>
</file>

<file path=xl/calcChain.xml><?xml version="1.0" encoding="utf-8"?>
<calcChain xmlns="http://schemas.openxmlformats.org/spreadsheetml/2006/main">
  <c r="D201" i="10" l="1"/>
  <c r="E219" i="10"/>
  <c r="D238" i="10"/>
  <c r="D368" i="7" l="1"/>
  <c r="E353" i="7"/>
  <c r="C266" i="6" l="1"/>
  <c r="D442" i="22"/>
  <c r="D439" i="22"/>
  <c r="D444" i="22"/>
  <c r="D407" i="22"/>
  <c r="D408" i="22"/>
  <c r="D405" i="22"/>
  <c r="D415" i="22"/>
  <c r="D414" i="22"/>
  <c r="D375" i="22"/>
  <c r="D383" i="22"/>
  <c r="D376" i="22"/>
  <c r="D289" i="22"/>
  <c r="D290" i="22"/>
  <c r="D297" i="22"/>
  <c r="D230" i="22"/>
  <c r="D217" i="22" l="1"/>
  <c r="D224" i="22"/>
  <c r="D223" i="22"/>
  <c r="D187" i="22"/>
  <c r="D156" i="22"/>
  <c r="D121" i="22"/>
  <c r="D88" i="22"/>
  <c r="D87" i="22"/>
  <c r="D81" i="22"/>
  <c r="D94" i="22"/>
  <c r="D60" i="22"/>
  <c r="D59" i="22"/>
  <c r="D26" i="22"/>
  <c r="D78" i="17"/>
  <c r="D906" i="21"/>
  <c r="D885" i="21"/>
  <c r="D882" i="21"/>
  <c r="D883" i="21"/>
  <c r="D876" i="21"/>
  <c r="D880" i="21"/>
  <c r="D870" i="21"/>
  <c r="D850" i="21"/>
  <c r="D818" i="21"/>
  <c r="D585" i="21"/>
  <c r="D553" i="21"/>
  <c r="D490" i="21"/>
  <c r="D455" i="21"/>
  <c r="D428" i="21"/>
  <c r="D272" i="21"/>
  <c r="D211" i="21"/>
  <c r="D148" i="21"/>
  <c r="D82" i="21"/>
  <c r="D79" i="21"/>
  <c r="D77" i="21"/>
  <c r="D86" i="21"/>
  <c r="D25" i="21"/>
  <c r="D175" i="19"/>
  <c r="D189" i="19"/>
  <c r="D153" i="19"/>
  <c r="D53" i="19"/>
  <c r="D983" i="10" l="1"/>
  <c r="D945" i="10"/>
  <c r="D944" i="10"/>
  <c r="D953" i="10"/>
  <c r="D883" i="10"/>
  <c r="D848" i="10"/>
  <c r="D813" i="10"/>
  <c r="D817" i="10"/>
  <c r="D751" i="10"/>
  <c r="D750" i="10"/>
  <c r="D742" i="10"/>
  <c r="D748" i="10"/>
  <c r="D744" i="10"/>
  <c r="D741" i="10"/>
  <c r="D713" i="10"/>
  <c r="D676" i="10"/>
  <c r="D680" i="10"/>
  <c r="D644" i="10" l="1"/>
  <c r="D637" i="10"/>
  <c r="D636" i="10"/>
  <c r="D639" i="10"/>
  <c r="D610" i="10"/>
  <c r="D575" i="10"/>
  <c r="D541" i="10"/>
  <c r="D499" i="10"/>
  <c r="D430" i="10"/>
  <c r="D336" i="10"/>
  <c r="D269" i="10"/>
  <c r="D161" i="10"/>
  <c r="D164" i="10"/>
  <c r="D130" i="10"/>
  <c r="D128" i="10"/>
  <c r="D92" i="10"/>
  <c r="D86" i="10"/>
  <c r="D57" i="10"/>
  <c r="D50" i="10"/>
  <c r="D47" i="10"/>
  <c r="D53" i="10"/>
  <c r="D21" i="10"/>
  <c r="D25" i="10"/>
  <c r="D85" i="16" l="1"/>
  <c r="D53" i="16"/>
  <c r="D27" i="16" l="1"/>
  <c r="D118" i="20"/>
  <c r="D81" i="20"/>
  <c r="D52" i="20"/>
  <c r="D55" i="20"/>
  <c r="D18" i="20"/>
  <c r="D22" i="20"/>
  <c r="D206" i="17"/>
  <c r="D115" i="17"/>
  <c r="D259" i="18"/>
  <c r="D261" i="18"/>
  <c r="D228" i="18"/>
  <c r="D226" i="18"/>
  <c r="D223" i="18"/>
  <c r="D190" i="18"/>
  <c r="D188" i="18"/>
  <c r="D197" i="18"/>
  <c r="D157" i="18"/>
  <c r="D159" i="18"/>
  <c r="D156" i="18"/>
  <c r="D123" i="18"/>
  <c r="D120" i="18"/>
  <c r="D129" i="18"/>
  <c r="D94" i="18"/>
  <c r="D86" i="18"/>
  <c r="D95" i="18"/>
  <c r="D51" i="18"/>
  <c r="D22" i="18"/>
  <c r="D26" i="18"/>
  <c r="D276" i="11"/>
  <c r="D277" i="11"/>
  <c r="D178" i="11"/>
  <c r="D148" i="11"/>
  <c r="D299" i="13"/>
  <c r="D306" i="13"/>
  <c r="D267" i="13"/>
  <c r="D240" i="13"/>
  <c r="D232" i="13"/>
  <c r="D239" i="13"/>
  <c r="D238" i="13"/>
  <c r="D111" i="14"/>
  <c r="D105" i="14"/>
  <c r="D115" i="14"/>
  <c r="D107" i="14"/>
  <c r="D26" i="14"/>
  <c r="D90" i="15" l="1"/>
  <c r="E74" i="15"/>
  <c r="D59" i="15"/>
  <c r="E43" i="15"/>
  <c r="D369" i="22"/>
  <c r="C369" i="22"/>
  <c r="C310" i="22"/>
  <c r="D450" i="22"/>
  <c r="E434" i="22"/>
  <c r="D420" i="22"/>
  <c r="E401" i="22"/>
  <c r="D388" i="22"/>
  <c r="E370" i="22"/>
  <c r="D357" i="22"/>
  <c r="E341" i="22"/>
  <c r="D327" i="22"/>
  <c r="E311" i="22"/>
  <c r="D280" i="22"/>
  <c r="C280" i="22"/>
  <c r="D178" i="22"/>
  <c r="C178" i="22"/>
  <c r="D144" i="22"/>
  <c r="C144" i="22"/>
  <c r="D110" i="22"/>
  <c r="C110" i="22"/>
  <c r="D75" i="22"/>
  <c r="C75" i="22"/>
  <c r="D43" i="22"/>
  <c r="C43" i="22"/>
  <c r="D10" i="22"/>
  <c r="C10" i="22"/>
  <c r="D802" i="21"/>
  <c r="C802" i="21"/>
  <c r="D351" i="21"/>
  <c r="C351" i="21"/>
  <c r="D226" i="21"/>
  <c r="C226" i="21"/>
  <c r="D138" i="19"/>
  <c r="C138" i="19"/>
  <c r="D75" i="10"/>
  <c r="C75" i="10"/>
  <c r="D42" i="10"/>
  <c r="C42" i="10"/>
  <c r="D237" i="16"/>
  <c r="C237" i="16"/>
  <c r="D257" i="17"/>
  <c r="C257" i="17"/>
  <c r="D195" i="17"/>
  <c r="C195" i="17"/>
  <c r="D134" i="17"/>
  <c r="C134" i="17"/>
  <c r="D182" i="18"/>
  <c r="C182" i="18"/>
  <c r="D112" i="18"/>
  <c r="C112" i="18"/>
  <c r="D78" i="18"/>
  <c r="C78" i="18"/>
  <c r="D44" i="18"/>
  <c r="C44" i="18"/>
  <c r="D11" i="18"/>
  <c r="C11" i="18"/>
  <c r="C290" i="13"/>
  <c r="C99" i="14"/>
  <c r="C11" i="14"/>
  <c r="D298" i="22" l="1"/>
  <c r="E281" i="22"/>
  <c r="D265" i="22"/>
  <c r="E248" i="22"/>
  <c r="E213" i="22"/>
  <c r="D195" i="22"/>
  <c r="E179" i="22"/>
  <c r="D162" i="22"/>
  <c r="E145" i="22"/>
  <c r="D127" i="22"/>
  <c r="E111" i="22"/>
  <c r="E76" i="22"/>
  <c r="E44" i="22"/>
  <c r="D27" i="22"/>
  <c r="E11" i="22"/>
  <c r="D124" i="20"/>
  <c r="E108" i="20"/>
  <c r="D92" i="20"/>
  <c r="E76" i="20"/>
  <c r="D61" i="20"/>
  <c r="E45" i="20"/>
  <c r="D28" i="20"/>
  <c r="E11" i="20"/>
  <c r="D919" i="21"/>
  <c r="E902" i="21"/>
  <c r="E866" i="21"/>
  <c r="D851" i="21"/>
  <c r="E835" i="21"/>
  <c r="D819" i="21"/>
  <c r="E803" i="21"/>
  <c r="D788" i="21"/>
  <c r="E772" i="21"/>
  <c r="D754" i="21"/>
  <c r="E738" i="21"/>
  <c r="D720" i="21"/>
  <c r="E704" i="21"/>
  <c r="D687" i="21"/>
  <c r="E671" i="21"/>
  <c r="D653" i="21"/>
  <c r="E637" i="21"/>
  <c r="D620" i="21"/>
  <c r="E604" i="21"/>
  <c r="D587" i="21"/>
  <c r="E571" i="21"/>
  <c r="D554" i="21"/>
  <c r="E538" i="21"/>
  <c r="D523" i="21"/>
  <c r="E507" i="21"/>
  <c r="D492" i="21"/>
  <c r="E476" i="21"/>
  <c r="D461" i="21"/>
  <c r="E445" i="21"/>
  <c r="D430" i="21"/>
  <c r="E414" i="21"/>
  <c r="D399" i="21"/>
  <c r="E383" i="21"/>
  <c r="D368" i="21"/>
  <c r="E352" i="21"/>
  <c r="D337" i="21"/>
  <c r="E321" i="21"/>
  <c r="D306" i="21"/>
  <c r="E290" i="21"/>
  <c r="D274" i="21"/>
  <c r="E258" i="21"/>
  <c r="D243" i="21"/>
  <c r="E227" i="21"/>
  <c r="D212" i="21"/>
  <c r="E196" i="21"/>
  <c r="D181" i="21"/>
  <c r="E165" i="21"/>
  <c r="D150" i="21"/>
  <c r="E134" i="21"/>
  <c r="D119" i="21"/>
  <c r="E103" i="21"/>
  <c r="D88" i="21"/>
  <c r="E72" i="21"/>
  <c r="D57" i="21"/>
  <c r="E41" i="21"/>
  <c r="D27" i="21"/>
  <c r="E11" i="21"/>
  <c r="D191" i="19"/>
  <c r="E171" i="19"/>
  <c r="D155" i="19"/>
  <c r="E139" i="19"/>
  <c r="D122" i="19"/>
  <c r="E105" i="19"/>
  <c r="D89" i="19"/>
  <c r="E73" i="19"/>
  <c r="D58" i="19"/>
  <c r="E42" i="19"/>
  <c r="D27" i="19"/>
  <c r="E11" i="19"/>
  <c r="D992" i="10"/>
  <c r="E976" i="10"/>
  <c r="D958" i="10"/>
  <c r="E940" i="10"/>
  <c r="D924" i="10"/>
  <c r="E908" i="10"/>
  <c r="D893" i="10"/>
  <c r="E875" i="10"/>
  <c r="D859" i="10"/>
  <c r="E839" i="10"/>
  <c r="D823" i="10"/>
  <c r="E803" i="10"/>
  <c r="D787" i="10"/>
  <c r="E767" i="10"/>
  <c r="E734" i="10"/>
  <c r="D718" i="10"/>
  <c r="E701" i="10"/>
  <c r="D682" i="10"/>
  <c r="E663" i="10"/>
  <c r="D645" i="10"/>
  <c r="E629" i="10"/>
  <c r="D611" i="10"/>
  <c r="E594" i="10"/>
  <c r="D576" i="10"/>
  <c r="E560" i="10"/>
  <c r="D542" i="10"/>
  <c r="E526" i="10"/>
  <c r="D508" i="10"/>
  <c r="E492" i="10"/>
  <c r="D474" i="10"/>
  <c r="E457" i="10"/>
  <c r="D439" i="10"/>
  <c r="E423" i="10"/>
  <c r="D405" i="10"/>
  <c r="E389" i="10"/>
  <c r="D373" i="10"/>
  <c r="E357" i="10"/>
  <c r="D338" i="10"/>
  <c r="E322" i="10"/>
  <c r="D305" i="10"/>
  <c r="E289" i="10"/>
  <c r="D271" i="10"/>
  <c r="E255" i="10"/>
  <c r="D235" i="10"/>
  <c r="D198" i="10"/>
  <c r="E182" i="10"/>
  <c r="D166" i="10"/>
  <c r="E147" i="10"/>
  <c r="E111" i="10"/>
  <c r="D94" i="10"/>
  <c r="E76" i="10"/>
  <c r="D59" i="10"/>
  <c r="E43" i="10"/>
  <c r="D27" i="10"/>
  <c r="E11" i="10"/>
  <c r="D254" i="16"/>
  <c r="E238" i="16"/>
  <c r="D221" i="16"/>
  <c r="E205" i="16"/>
  <c r="D188" i="16"/>
  <c r="E172" i="16"/>
  <c r="D156" i="16"/>
  <c r="E140" i="16"/>
  <c r="D123" i="16"/>
  <c r="E107" i="16"/>
  <c r="D91" i="16"/>
  <c r="E75" i="16"/>
  <c r="D59" i="16"/>
  <c r="E43" i="16"/>
  <c r="D28" i="16"/>
  <c r="E12" i="16"/>
  <c r="D336" i="17"/>
  <c r="E320" i="17"/>
  <c r="D305" i="17"/>
  <c r="E289" i="17"/>
  <c r="D274" i="17"/>
  <c r="E258" i="17"/>
  <c r="D244" i="17"/>
  <c r="E228" i="17"/>
  <c r="D214" i="17"/>
  <c r="E196" i="17"/>
  <c r="D181" i="17"/>
  <c r="E165" i="17"/>
  <c r="D151" i="17"/>
  <c r="E135" i="17"/>
  <c r="D121" i="17"/>
  <c r="E105" i="17"/>
  <c r="D90" i="17"/>
  <c r="E74" i="17"/>
  <c r="D59" i="17"/>
  <c r="E43" i="17"/>
  <c r="D28" i="17"/>
  <c r="E12" i="17"/>
  <c r="D267" i="18"/>
  <c r="E251" i="18"/>
  <c r="D234" i="18"/>
  <c r="E216" i="18"/>
  <c r="D199" i="18"/>
  <c r="E183" i="18"/>
  <c r="D165" i="18"/>
  <c r="E148" i="18"/>
  <c r="D131" i="18"/>
  <c r="E113" i="18"/>
  <c r="D96" i="18"/>
  <c r="E79" i="18"/>
  <c r="D62" i="18"/>
  <c r="E45" i="18"/>
  <c r="D28" i="18"/>
  <c r="E12" i="18"/>
  <c r="D282" i="11" l="1"/>
  <c r="E266" i="11"/>
  <c r="D250" i="11"/>
  <c r="E234" i="11"/>
  <c r="D218" i="11"/>
  <c r="E202" i="11"/>
  <c r="D186" i="11"/>
  <c r="E170" i="11"/>
  <c r="D154" i="11"/>
  <c r="E138" i="11"/>
  <c r="D122" i="11"/>
  <c r="E106" i="11"/>
  <c r="D90" i="11"/>
  <c r="E74" i="11"/>
  <c r="D59" i="11"/>
  <c r="E43" i="11"/>
  <c r="D28" i="11" l="1"/>
  <c r="E12" i="11"/>
  <c r="D28" i="12"/>
  <c r="E12" i="12"/>
  <c r="D338" i="13"/>
  <c r="E322" i="13"/>
  <c r="D307" i="13"/>
  <c r="E291" i="13"/>
  <c r="D276" i="13"/>
  <c r="E259" i="13"/>
  <c r="D244" i="13"/>
  <c r="E227" i="13"/>
  <c r="D212" i="13"/>
  <c r="E196" i="13"/>
  <c r="D181" i="13"/>
  <c r="E165" i="13"/>
  <c r="D150" i="13"/>
  <c r="E134" i="13"/>
  <c r="D119" i="13"/>
  <c r="E103" i="13"/>
  <c r="D88" i="13"/>
  <c r="E72" i="13"/>
  <c r="D57" i="13"/>
  <c r="E41" i="13"/>
  <c r="D27" i="13"/>
  <c r="E11" i="13"/>
  <c r="D116" i="14"/>
  <c r="E100" i="14"/>
  <c r="D87" i="14"/>
  <c r="E71" i="14"/>
  <c r="D58" i="14"/>
  <c r="E42" i="14"/>
  <c r="D28" i="14"/>
  <c r="E12" i="14"/>
  <c r="D27" i="15"/>
  <c r="E11" i="15"/>
  <c r="C672" i="1" l="1"/>
  <c r="C669" i="1"/>
  <c r="C663" i="1"/>
  <c r="C638" i="1"/>
  <c r="C637" i="1"/>
  <c r="C610" i="1"/>
  <c r="C587" i="1"/>
  <c r="C582" i="1"/>
  <c r="C578" i="1"/>
  <c r="C550" i="1"/>
  <c r="C548" i="1"/>
  <c r="C547" i="1"/>
  <c r="C518" i="1"/>
  <c r="C529" i="1"/>
  <c r="C490" i="1"/>
  <c r="C468" i="1"/>
  <c r="C462" i="1"/>
  <c r="C433" i="1"/>
  <c r="C404" i="1"/>
  <c r="C415" i="1"/>
  <c r="C405" i="1"/>
  <c r="C386" i="1"/>
  <c r="C377" i="1"/>
  <c r="C351" i="1"/>
  <c r="C324" i="1"/>
  <c r="C332" i="1"/>
  <c r="C302" i="1"/>
  <c r="C298" i="1"/>
  <c r="C271" i="1"/>
  <c r="C276" i="1"/>
  <c r="C241" i="1"/>
  <c r="C249" i="1"/>
  <c r="C210" i="1"/>
  <c r="C181" i="1"/>
  <c r="C183" i="1"/>
  <c r="C91" i="1"/>
  <c r="C21" i="1"/>
  <c r="C673" i="1"/>
  <c r="C644" i="1"/>
  <c r="C617" i="1"/>
  <c r="C590" i="1"/>
  <c r="C559" i="1"/>
  <c r="C500" i="1"/>
  <c r="C474" i="1"/>
  <c r="C444" i="1"/>
  <c r="C387" i="1"/>
  <c r="C360" i="1"/>
  <c r="C333" i="1"/>
  <c r="C308" i="1"/>
  <c r="C250" i="1"/>
  <c r="C217" i="1"/>
  <c r="C187" i="1"/>
  <c r="C158" i="1"/>
  <c r="C129" i="1"/>
  <c r="C101" i="1"/>
  <c r="C280" i="1"/>
  <c r="C74" i="1"/>
  <c r="C31" i="1"/>
  <c r="C170" i="2"/>
  <c r="C173" i="2"/>
  <c r="C137" i="2"/>
  <c r="C143" i="2"/>
  <c r="C180" i="2"/>
  <c r="C147" i="2"/>
  <c r="C117" i="2"/>
  <c r="C86" i="2"/>
  <c r="C53" i="2"/>
  <c r="C26" i="2"/>
  <c r="C212" i="2"/>
  <c r="C47" i="4"/>
  <c r="C49" i="4"/>
  <c r="C17" i="4"/>
  <c r="C21" i="4"/>
  <c r="C20" i="4"/>
  <c r="C27" i="4" s="1"/>
  <c r="C56" i="4"/>
  <c r="C108" i="5"/>
  <c r="C111" i="5"/>
  <c r="C23" i="5"/>
  <c r="C22" i="5"/>
  <c r="C26" i="5"/>
  <c r="C53" i="5"/>
  <c r="C84" i="5"/>
  <c r="C114" i="5"/>
  <c r="D298" i="7"/>
  <c r="D301" i="7"/>
  <c r="D272" i="7"/>
  <c r="D271" i="7"/>
  <c r="D250" i="7"/>
  <c r="D254" i="7" s="1"/>
  <c r="D219" i="7"/>
  <c r="D218" i="7"/>
  <c r="D216" i="7"/>
  <c r="D159" i="7"/>
  <c r="D169" i="7" s="1"/>
  <c r="D130" i="7"/>
  <c r="D132" i="7"/>
  <c r="D128" i="7"/>
  <c r="D105" i="7"/>
  <c r="D108" i="7" s="1"/>
  <c r="D68" i="7"/>
  <c r="D78" i="7" s="1"/>
  <c r="D15" i="7"/>
  <c r="D336" i="7"/>
  <c r="D308" i="7"/>
  <c r="D281" i="7"/>
  <c r="D225" i="7"/>
  <c r="D196" i="7"/>
  <c r="D139" i="7"/>
  <c r="D52" i="7"/>
  <c r="D25" i="7"/>
  <c r="C745" i="8"/>
  <c r="C744" i="8"/>
  <c r="C714" i="8"/>
  <c r="C684" i="8"/>
  <c r="C694" i="8"/>
  <c r="C690" i="8"/>
  <c r="C696" i="8"/>
  <c r="C655" i="8"/>
  <c r="C666" i="8"/>
  <c r="C654" i="8"/>
  <c r="C664" i="8"/>
  <c r="C623" i="8"/>
  <c r="C626" i="8"/>
  <c r="C594" i="8"/>
  <c r="C600" i="8"/>
  <c r="C572" i="8"/>
  <c r="C563" i="8"/>
  <c r="C574" i="8" s="1"/>
  <c r="C513" i="8"/>
  <c r="C474" i="8"/>
  <c r="C481" i="8" s="1"/>
  <c r="C413" i="8"/>
  <c r="C423" i="8" s="1"/>
  <c r="C391" i="8"/>
  <c r="C329" i="8" l="1"/>
  <c r="C270" i="8"/>
  <c r="C155" i="8"/>
  <c r="C156" i="8" s="1"/>
  <c r="C118" i="8"/>
  <c r="C115" i="8"/>
  <c r="C78" i="8"/>
  <c r="C87" i="8"/>
  <c r="C53" i="8"/>
  <c r="C48" i="8"/>
  <c r="C749" i="8"/>
  <c r="C722" i="8"/>
  <c r="C634" i="8"/>
  <c r="C602" i="8"/>
  <c r="C541" i="8"/>
  <c r="C452" i="8"/>
  <c r="C361" i="8"/>
  <c r="C331" i="8"/>
  <c r="C303" i="8"/>
  <c r="C275" i="8"/>
  <c r="C246" i="8"/>
  <c r="C217" i="8"/>
  <c r="C184" i="8"/>
  <c r="C24" i="8"/>
  <c r="C88" i="8" l="1"/>
  <c r="C55" i="8"/>
  <c r="C120" i="8"/>
  <c r="D254" i="6"/>
  <c r="C236" i="6"/>
  <c r="C192" i="6"/>
  <c r="C162" i="6"/>
  <c r="C129" i="6"/>
  <c r="C87" i="6"/>
  <c r="C58" i="6"/>
  <c r="C22" i="6"/>
  <c r="C17" i="6"/>
  <c r="D104" i="9" l="1"/>
  <c r="D80" i="9"/>
  <c r="D57" i="9"/>
  <c r="D35" i="9"/>
  <c r="D12" i="9"/>
  <c r="D737" i="8"/>
  <c r="D710" i="8"/>
  <c r="D680" i="8"/>
  <c r="D650" i="8"/>
  <c r="D618" i="8"/>
  <c r="D590" i="8"/>
  <c r="D558" i="8"/>
  <c r="D529" i="8"/>
  <c r="D499" i="8"/>
  <c r="D467" i="8"/>
  <c r="D440" i="8"/>
  <c r="D409" i="8"/>
  <c r="D377" i="8"/>
  <c r="D347" i="8"/>
  <c r="D319" i="8"/>
  <c r="D291" i="8"/>
  <c r="D263" i="8"/>
  <c r="D234" i="8"/>
  <c r="D205" i="8"/>
  <c r="D172" i="8"/>
  <c r="D140" i="8"/>
  <c r="D108" i="8"/>
  <c r="D74" i="8"/>
  <c r="D43" i="8"/>
  <c r="D12" i="8"/>
  <c r="E322" i="7"/>
  <c r="E294" i="7"/>
  <c r="E267" i="7"/>
  <c r="E240" i="7"/>
  <c r="E210" i="7"/>
  <c r="E182" i="7"/>
  <c r="E155" i="7"/>
  <c r="E121" i="7"/>
  <c r="E94" i="7"/>
  <c r="E64" i="7"/>
  <c r="E38" i="7"/>
  <c r="E12" i="7"/>
  <c r="D222" i="6"/>
  <c r="D183" i="6"/>
  <c r="D156" i="6"/>
  <c r="D116" i="6"/>
  <c r="D81" i="6"/>
  <c r="D44" i="6"/>
  <c r="D13" i="6"/>
  <c r="D100" i="5"/>
  <c r="D70" i="5"/>
  <c r="D39" i="5"/>
  <c r="D12" i="5"/>
  <c r="D42" i="4"/>
  <c r="D13" i="4"/>
  <c r="D12" i="3"/>
  <c r="D198" i="2"/>
  <c r="D166" i="2"/>
  <c r="D133" i="2"/>
  <c r="D103" i="2"/>
  <c r="D72" i="2"/>
  <c r="D39" i="2"/>
  <c r="D12" i="2"/>
  <c r="D658" i="1"/>
  <c r="D630" i="1"/>
  <c r="D603" i="1"/>
  <c r="D574" i="1"/>
  <c r="D543" i="1"/>
  <c r="D513" i="1"/>
  <c r="D486" i="1"/>
  <c r="D458" i="1"/>
  <c r="D429" i="1"/>
  <c r="D400" i="1"/>
  <c r="D373" i="1"/>
  <c r="D346" i="1"/>
  <c r="D318" i="1"/>
  <c r="D294" i="1"/>
  <c r="D266" i="1"/>
  <c r="D234" i="1"/>
  <c r="D203" i="1"/>
  <c r="D173" i="1" l="1"/>
  <c r="D144" i="1"/>
  <c r="D115" i="1"/>
  <c r="D87" i="1"/>
  <c r="D17" i="1"/>
  <c r="D60" i="1"/>
</calcChain>
</file>

<file path=xl/sharedStrings.xml><?xml version="1.0" encoding="utf-8"?>
<sst xmlns="http://schemas.openxmlformats.org/spreadsheetml/2006/main" count="5718" uniqueCount="476">
  <si>
    <t>Вид услуг</t>
  </si>
  <si>
    <t>Начислено средств</t>
  </si>
  <si>
    <t>Получено средств</t>
  </si>
  <si>
    <t>Выполнено работ</t>
  </si>
  <si>
    <t>Текущий ремонт</t>
  </si>
  <si>
    <t>Отчет</t>
  </si>
  <si>
    <t>ООО ДУК "Стеклозаводец-Бор"</t>
  </si>
  <si>
    <t>о выпоненных работах по текущему ремонту общего имущества за период</t>
  </si>
  <si>
    <t>п.Железнодорожый</t>
  </si>
  <si>
    <t>ул.Новостройка д.</t>
  </si>
  <si>
    <t>Остаток денежных средств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</si>
  <si>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</si>
  <si>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</si>
  <si>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</si>
  <si>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</si>
  <si>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ул.Октябрьская д.</t>
  </si>
  <si>
    <t>9а</t>
  </si>
  <si>
    <t>п.Кр.Слобода</t>
  </si>
  <si>
    <t>Приречный д.</t>
  </si>
  <si>
    <t>ул.Садовая д.</t>
  </si>
  <si>
    <t>5а</t>
  </si>
  <si>
    <t>тер.Киселихинского госпиталя д</t>
  </si>
  <si>
    <t>п.Ситники</t>
  </si>
  <si>
    <t>1-й участок д.</t>
  </si>
  <si>
    <t>1а</t>
  </si>
  <si>
    <t>ул.Центральная д.</t>
  </si>
  <si>
    <t>3а</t>
  </si>
  <si>
    <t>18а</t>
  </si>
  <si>
    <t>ст.Киселиха</t>
  </si>
  <si>
    <t>ул.Вокзальная д.</t>
  </si>
  <si>
    <t>с января по декабрь 2015 год</t>
  </si>
  <si>
    <t>Остаток денежных средств с учетом выполненных работ</t>
  </si>
  <si>
    <t>Перерасход денежных средств</t>
  </si>
  <si>
    <t>Перерасход  денежных средств</t>
  </si>
  <si>
    <t>с январь по декабрь 2015 год</t>
  </si>
  <si>
    <t>Остаток  денежных средств с учетом выполненных работ</t>
  </si>
  <si>
    <t xml:space="preserve"> Перерасход денежных средств</t>
  </si>
  <si>
    <t>Наименование работ</t>
  </si>
  <si>
    <t>Сантехнические работы</t>
  </si>
  <si>
    <t>прочистка канализации</t>
  </si>
  <si>
    <t>Общестроительные работы</t>
  </si>
  <si>
    <t>стоимость работ (руб)</t>
  </si>
  <si>
    <t>Итого</t>
  </si>
  <si>
    <t xml:space="preserve">ремонт шиферной кровли </t>
  </si>
  <si>
    <t>укрепление стен</t>
  </si>
  <si>
    <t>Ремонт козырька и пола в МОП</t>
  </si>
  <si>
    <t>ремонт выгребной ямы</t>
  </si>
  <si>
    <t>Электротехнические работы</t>
  </si>
  <si>
    <t>ремонт рубильника</t>
  </si>
  <si>
    <t>смена светильника</t>
  </si>
  <si>
    <t>Смена эл. Счетчика</t>
  </si>
  <si>
    <t xml:space="preserve">ремонт кровли </t>
  </si>
  <si>
    <t>Благоустройство</t>
  </si>
  <si>
    <t>очистка крыш от снега и наледи</t>
  </si>
  <si>
    <t xml:space="preserve">ремонт  кровли </t>
  </si>
  <si>
    <t>Ремонт крыльца</t>
  </si>
  <si>
    <t>смена стекол</t>
  </si>
  <si>
    <t>ремонт эл. Проводки</t>
  </si>
  <si>
    <t>утепление трубопровода</t>
  </si>
  <si>
    <t>смена выключателя</t>
  </si>
  <si>
    <t>смена выключателя,патрона</t>
  </si>
  <si>
    <t>ремонт гр. Щита</t>
  </si>
  <si>
    <t>Ремонт дымовых труб 1шт 1 оголовок</t>
  </si>
  <si>
    <t>Ремонт шиферной кровли</t>
  </si>
  <si>
    <t>ремонт гр щита</t>
  </si>
  <si>
    <t>смена эл. Счетчиков</t>
  </si>
  <si>
    <t>Ремонт козырьков</t>
  </si>
  <si>
    <t>Ремонт полов в моп</t>
  </si>
  <si>
    <t>Смена дверных полотен</t>
  </si>
  <si>
    <t>укрепление фундамента</t>
  </si>
  <si>
    <t xml:space="preserve">Ремонт шиферной кровли </t>
  </si>
  <si>
    <t>Смена ввода трубопрвода хвс</t>
  </si>
  <si>
    <t>смена светильников</t>
  </si>
  <si>
    <t>Ремонт шиферной кровли 22м2</t>
  </si>
  <si>
    <t>Ремонт перекрытий</t>
  </si>
  <si>
    <t>Смена розлива ХВС</t>
  </si>
  <si>
    <t xml:space="preserve">Ремонт стояка ХВС </t>
  </si>
  <si>
    <t>Ремонт эл. Проводки</t>
  </si>
  <si>
    <t>декоративный ремонт подъезда</t>
  </si>
  <si>
    <t>Ремонт дымовых труб</t>
  </si>
  <si>
    <t xml:space="preserve">Ремонт канализационного трубопровода </t>
  </si>
  <si>
    <t xml:space="preserve">Ремонт дымовых труб 1шт </t>
  </si>
  <si>
    <t xml:space="preserve">ремонт эл. Проводки </t>
  </si>
  <si>
    <t>ремонт канализ. Труб.</t>
  </si>
  <si>
    <t>смена остекления</t>
  </si>
  <si>
    <t>ремонт дымовых труб 1шт</t>
  </si>
  <si>
    <t>Ремонт выхода на кровлю</t>
  </si>
  <si>
    <t>Ремонт кализационного трубопровода</t>
  </si>
  <si>
    <t>ремонт кровли 3м2</t>
  </si>
  <si>
    <t>Ремонт шиферной кровли и печи</t>
  </si>
  <si>
    <t>Смена эл. Проводки моп</t>
  </si>
  <si>
    <t>Устройство уличного туалета</t>
  </si>
  <si>
    <t>Установка пластиковых окон</t>
  </si>
  <si>
    <t>Ремонт козырька</t>
  </si>
  <si>
    <t>Ремонт фасада</t>
  </si>
  <si>
    <t>ремонт вводного кабеля</t>
  </si>
  <si>
    <t>ремонт гр щита, смена светильника</t>
  </si>
  <si>
    <t>Ремонт забора</t>
  </si>
  <si>
    <t xml:space="preserve">Ремонт отмостки </t>
  </si>
  <si>
    <t xml:space="preserve">Ремонт ХВС на вводе </t>
  </si>
  <si>
    <t>утепление перекрытия</t>
  </si>
  <si>
    <t>смена шарового  крана</t>
  </si>
  <si>
    <t>ремонт кровли</t>
  </si>
  <si>
    <t>Ремонт трубопровода ХВС на вводе</t>
  </si>
  <si>
    <t xml:space="preserve">Ремонт кализационного трубопровода </t>
  </si>
  <si>
    <t>Ремонт дымовых труб  , прочистка дымохода</t>
  </si>
  <si>
    <t>смена остекления, установка пружины</t>
  </si>
  <si>
    <t>установка пружины</t>
  </si>
  <si>
    <t>установка пружины, смена остекления</t>
  </si>
  <si>
    <t>смена замка</t>
  </si>
  <si>
    <t>ремонт вводног кабеля,эл. Проводки,смена эл. Счетчика</t>
  </si>
  <si>
    <t>Смена стояка ХВС 28,3м</t>
  </si>
  <si>
    <t>ремонт гр щита, смена патрона</t>
  </si>
  <si>
    <t>Декоративный ремонт подъезда</t>
  </si>
  <si>
    <t>Ремонт крыльца и козырька, смена замка</t>
  </si>
  <si>
    <t>установка пружины,смена стекол</t>
  </si>
  <si>
    <t>ремонт кровли, прочистка дымохода</t>
  </si>
  <si>
    <t>Ремонт кализационного трубопровода 5,5м</t>
  </si>
  <si>
    <t>Ремонт шиферной кровли 2,6м2</t>
  </si>
  <si>
    <t>Смена основного розлива ХВС 14,5м</t>
  </si>
  <si>
    <t>Ремонт канализационного трубопровода 1,2м</t>
  </si>
  <si>
    <t>смена стекол, установка пружины</t>
  </si>
  <si>
    <t>смена лдс</t>
  </si>
  <si>
    <t>прочиска канализации</t>
  </si>
  <si>
    <t>ремонт шиферной кровли 22м2</t>
  </si>
  <si>
    <t>Смена колпаков на дым. Трубах</t>
  </si>
  <si>
    <t>Утепление чердачного перекрытия</t>
  </si>
  <si>
    <t>ремонт гр. щита</t>
  </si>
  <si>
    <t>Врезка крана ХВС</t>
  </si>
  <si>
    <t>Ремонт цоколя</t>
  </si>
  <si>
    <t>ремонт кровли ,прочистка дымохода</t>
  </si>
  <si>
    <t>Ремонт кализационного трубопровода 3м</t>
  </si>
  <si>
    <t>Ремонт кализационного трубопровода 6,5м</t>
  </si>
  <si>
    <t>ремонт сил пред шкафа</t>
  </si>
  <si>
    <t>смена канал. Трубопровода и хвс 11,5м</t>
  </si>
  <si>
    <t>укрепление стропил</t>
  </si>
  <si>
    <t>Ремонт оконных переплетов слух. Окон</t>
  </si>
  <si>
    <t>Смена стояка ХВС 10м</t>
  </si>
  <si>
    <t>Ремонт кализационного трубопровода и ХВС</t>
  </si>
  <si>
    <t>ремонт трубопровода отопления 2,4м</t>
  </si>
  <si>
    <t>Ремонт шиферной кровли10,4м2</t>
  </si>
  <si>
    <t>Смена стояка ХВС 4,3м</t>
  </si>
  <si>
    <t>Смена трубопровода отопления 12,6м</t>
  </si>
  <si>
    <t>смена эл. Счетчика</t>
  </si>
  <si>
    <t>Ремонт пола в МОП</t>
  </si>
  <si>
    <t>Смена стояка ХВС 5,1м</t>
  </si>
  <si>
    <t>Смена трубопровода канализации 3,5м</t>
  </si>
  <si>
    <t>Ремонт дымовых труб  2 шт, ремонт кровли</t>
  </si>
  <si>
    <t>Смена трубопровода канализации 5,4м</t>
  </si>
  <si>
    <t>Смена основного розлива ХВС 32м</t>
  </si>
  <si>
    <t>Ремонт канализационного трубопровода 4,5м</t>
  </si>
  <si>
    <t>ремонт трубопровода отопления 0,3м</t>
  </si>
  <si>
    <t>Ремонт шиферной кровли 19,24м2</t>
  </si>
  <si>
    <t xml:space="preserve">ремонт шиф. Кровли </t>
  </si>
  <si>
    <t>Ремонт балкона</t>
  </si>
  <si>
    <t>смена патрона</t>
  </si>
  <si>
    <t>Ремонт шиферной кровли , укрепление стропил</t>
  </si>
  <si>
    <t>ремонт гр щита, силового пред. Шкафа</t>
  </si>
  <si>
    <t>Ремонт шиферной кровли , дымовых труб</t>
  </si>
  <si>
    <t>Ремонт кализационного трубопровода 5,2м</t>
  </si>
  <si>
    <t>ремонт кровли 5,2м2</t>
  </si>
  <si>
    <t>смена выключателя, патрона</t>
  </si>
  <si>
    <t>Смена стояка ХВС9,3м</t>
  </si>
  <si>
    <t>г.Бор</t>
  </si>
  <si>
    <t>пер.Подлужный д.6а</t>
  </si>
  <si>
    <t>ул. Баринова д.</t>
  </si>
  <si>
    <t>ул. В.Котика д.</t>
  </si>
  <si>
    <t>4а</t>
  </si>
  <si>
    <t>ул.Задолье д.</t>
  </si>
  <si>
    <t>65а</t>
  </si>
  <si>
    <t>ул. Западная д.</t>
  </si>
  <si>
    <t>ул. Коммунистическая  д.</t>
  </si>
  <si>
    <t>13а</t>
  </si>
  <si>
    <t>пер.Лихачева  д.</t>
  </si>
  <si>
    <t>ул.Лихачева  д.</t>
  </si>
  <si>
    <t>ул. Максимова  д.</t>
  </si>
  <si>
    <t>ул. Махалова  д.</t>
  </si>
  <si>
    <t>ул. Маяковского  д.</t>
  </si>
  <si>
    <t>ул. Мира д.</t>
  </si>
  <si>
    <t>м-он Прибрежный д.</t>
  </si>
  <si>
    <t>ул. Чугунова д.</t>
  </si>
  <si>
    <t>1б</t>
  </si>
  <si>
    <t>2а</t>
  </si>
  <si>
    <t>2б</t>
  </si>
  <si>
    <t>6а</t>
  </si>
  <si>
    <t>7а</t>
  </si>
  <si>
    <t>ул.Энгельса д.1а</t>
  </si>
  <si>
    <t>ул.Сосновая  д.71а</t>
  </si>
  <si>
    <t>Ремонт шиферной кровли 57,75 м2</t>
  </si>
  <si>
    <t>Утепление покрытия</t>
  </si>
  <si>
    <t>Ремонт шиферной кровли 21м2</t>
  </si>
  <si>
    <t>Смена дверных петель( люк выхода на чердак), замка</t>
  </si>
  <si>
    <t>Смена светильника</t>
  </si>
  <si>
    <t>Смена эл.проводки МОП</t>
  </si>
  <si>
    <t>Прочистка канализационного стояка</t>
  </si>
  <si>
    <t>Смена стекол</t>
  </si>
  <si>
    <t xml:space="preserve">Спиловка деревьев </t>
  </si>
  <si>
    <t>ремонт трубопровода хвс</t>
  </si>
  <si>
    <t xml:space="preserve">Спиловка деревьев 1шт клен </t>
  </si>
  <si>
    <t>Смена участка стояка хвс 0,5м</t>
  </si>
  <si>
    <t>Установка светильников</t>
  </si>
  <si>
    <t>Прочиска стояка канализации</t>
  </si>
  <si>
    <t>Установка лавочек</t>
  </si>
  <si>
    <t>Смена участка отопления , запорной арматуры</t>
  </si>
  <si>
    <t>Смена ламп дневного света</t>
  </si>
  <si>
    <t>Смена ламп дневного света, выключателя</t>
  </si>
  <si>
    <t>ремонт кирпич. Стен и фундамента</t>
  </si>
  <si>
    <t>Ремонт мягкой кровли 86,2м2</t>
  </si>
  <si>
    <t>Смена светильника, выключателя,смена проводки</t>
  </si>
  <si>
    <t>Смена участка канализации 5м</t>
  </si>
  <si>
    <t xml:space="preserve">Ремонт примыканий к фановой трубе
</t>
  </si>
  <si>
    <t>Смена шарового крана на стояке ф20</t>
  </si>
  <si>
    <t>Укрепление стропильных ног</t>
  </si>
  <si>
    <t>Спиловка деревьев 1шт береза</t>
  </si>
  <si>
    <t>Смена эл. Проводки МОП</t>
  </si>
  <si>
    <t>Ремонт светильника</t>
  </si>
  <si>
    <t>Смена  стояка ХВС 4,5м</t>
  </si>
  <si>
    <t xml:space="preserve">Вырезка ветвей береза </t>
  </si>
  <si>
    <t>Прочистка канализационного выпуска</t>
  </si>
  <si>
    <t>Ремонт метал. Двери</t>
  </si>
  <si>
    <t>Ремонт силового предох. Шкафа, смена автоматов, светильников, проводки</t>
  </si>
  <si>
    <t>Замена стояков полотенцесушителя 35,6м</t>
  </si>
  <si>
    <t>Смена участка ливневой  канализации 6м</t>
  </si>
  <si>
    <t>Смена стояков ХВС и канализации  45,7м, прочистка канализации</t>
  </si>
  <si>
    <t>Спиловка деревьев</t>
  </si>
  <si>
    <t>Ремонт пола в моп, крыльца, смена дверных петель</t>
  </si>
  <si>
    <t>Ремонт шиферной кровли 35 м2</t>
  </si>
  <si>
    <t>Ремонт дымовой трубы</t>
  </si>
  <si>
    <t>Изготовление и установка козырька, почтовых ящиков, смена стекол</t>
  </si>
  <si>
    <t>Ремонт гр. Щита без ремонта авт.</t>
  </si>
  <si>
    <t xml:space="preserve">Смена участка основного розлива </t>
  </si>
  <si>
    <t>Смена крана на стояке хвс</t>
  </si>
  <si>
    <t>установка стоек для сушки белья</t>
  </si>
  <si>
    <t>Смена пружины</t>
  </si>
  <si>
    <t>Смена стояка хвс,гвс 1,7м</t>
  </si>
  <si>
    <t>смена стояков ХВС и ГВС 6,5м</t>
  </si>
  <si>
    <t>Ремонт деревянного пола</t>
  </si>
  <si>
    <t>Изготовление и установка короба в вентканал</t>
  </si>
  <si>
    <t>Смена выключателя</t>
  </si>
  <si>
    <t>Смена замка силами собственников</t>
  </si>
  <si>
    <t>Спиловка дерева</t>
  </si>
  <si>
    <t>Смена ламп дневного света, патрона</t>
  </si>
  <si>
    <t>Ремонт гр. Щита с заменой автомата</t>
  </si>
  <si>
    <t>Смена участка сотяка отопления</t>
  </si>
  <si>
    <t>Покраска козырька</t>
  </si>
  <si>
    <t>Ремонт гр.щита со сменой автомата</t>
  </si>
  <si>
    <t xml:space="preserve">Установка общедомового узла учета ХВС ф40 </t>
  </si>
  <si>
    <t>Замена запорной арматуры на отоплении и участков стояков 18м</t>
  </si>
  <si>
    <t>смена участка трубопровода отопления, радиаторов</t>
  </si>
  <si>
    <t>ремонт цоколя 8,4м2</t>
  </si>
  <si>
    <t>ремонт шиферной кровли 21м2</t>
  </si>
  <si>
    <t>Ремонт дощатых полов</t>
  </si>
  <si>
    <t>Смена стекол, колпака</t>
  </si>
  <si>
    <t>Ремонт гр. Щитка со сменой автомата</t>
  </si>
  <si>
    <t>Смена выключателя, светильника</t>
  </si>
  <si>
    <t>смена лежака отопления103м</t>
  </si>
  <si>
    <t>Замена эл. Проводки МОП</t>
  </si>
  <si>
    <t>Распиловка   упавшего дерева к=0,4</t>
  </si>
  <si>
    <t>Смена участка  отопления на чердаке 3 м</t>
  </si>
  <si>
    <t>Ремонт шиферной кровли 21 м2</t>
  </si>
  <si>
    <t xml:space="preserve">Ремонт пола , заделка отв., </t>
  </si>
  <si>
    <t>установка оконного блока, смена остекления</t>
  </si>
  <si>
    <t>Смена патрона</t>
  </si>
  <si>
    <t>ремонт системы отопления 2,1м</t>
  </si>
  <si>
    <t>Установка почтовых ящиков</t>
  </si>
  <si>
    <t>Смена петель на люке</t>
  </si>
  <si>
    <t>Покраска газонного ограждения, малых архит. Форм</t>
  </si>
  <si>
    <t>Установка розетки</t>
  </si>
  <si>
    <t>Смена лежака канализации 36,5м</t>
  </si>
  <si>
    <t>Прочистка канализационного выпуска из колодца,откачка воды</t>
  </si>
  <si>
    <t>Покраска малых архитектурных форм</t>
  </si>
  <si>
    <t>ремонт межпанельных швов перекрытия 82м</t>
  </si>
  <si>
    <t>Установка пластиковых окон 4шт</t>
  </si>
  <si>
    <t>Ремонт межпанельных стыков 45,5м</t>
  </si>
  <si>
    <t xml:space="preserve">изготовление и установка колпаков </t>
  </si>
  <si>
    <t>Смена выключателей,светильника</t>
  </si>
  <si>
    <t>Ремонт канализационного трубопровода 7,5м</t>
  </si>
  <si>
    <t>замена участка трубопровода отопления 1м</t>
  </si>
  <si>
    <t>Ремонт рустов жилого панельного дома</t>
  </si>
  <si>
    <t>Ремонт светильника,выключателя,ламп д/с</t>
  </si>
  <si>
    <t>Смена эл. Счетчиков</t>
  </si>
  <si>
    <t>Смена колпака на дым. Трубе</t>
  </si>
  <si>
    <t xml:space="preserve">Распиловка   упавших  деревьев </t>
  </si>
  <si>
    <t>ремонт кализационного трубопровода</t>
  </si>
  <si>
    <t>Установка пластиковых окон 6шт, смена остекления</t>
  </si>
  <si>
    <t>обделка наружной стены оц. Сталью</t>
  </si>
  <si>
    <t>Изготовление и установка коробов</t>
  </si>
  <si>
    <t>ремонт шиферной кровли 5,25м2</t>
  </si>
  <si>
    <t>Смена участка розлива  4м</t>
  </si>
  <si>
    <t xml:space="preserve">Установка ковровыбивалки, лавочек, ремонт малых арх. форм
</t>
  </si>
  <si>
    <t>Ремонт межпанельных стыков 22,4м</t>
  </si>
  <si>
    <t xml:space="preserve">ремонт мягкой кровли </t>
  </si>
  <si>
    <t xml:space="preserve">установка радиатора отопления </t>
  </si>
  <si>
    <t>завоз песка</t>
  </si>
  <si>
    <t>Смена электросчетчиков</t>
  </si>
  <si>
    <t>Ремонт малых архитектурных форм</t>
  </si>
  <si>
    <t>смена участка стояка хвс 2,1м</t>
  </si>
  <si>
    <t>смена участка трубопровода отопления 1м</t>
  </si>
  <si>
    <t>Ремонт крыльца, смена стекол, схода в подвал</t>
  </si>
  <si>
    <t>установка лавочек1шт</t>
  </si>
  <si>
    <t xml:space="preserve">Смена трубопровода из п/п высокой прочности ф110 </t>
  </si>
  <si>
    <t>смена участка стояка отопления , гвс</t>
  </si>
  <si>
    <t>Ремонт ВРУ</t>
  </si>
  <si>
    <t>Проведение трубопровода для полива газона</t>
  </si>
  <si>
    <t xml:space="preserve">Смена светильника </t>
  </si>
  <si>
    <t>Смена шар. Крана на стояке ф20</t>
  </si>
  <si>
    <t>ремонт эл. проводки</t>
  </si>
  <si>
    <t>ремонт примыканий к дым. Трубам 4м</t>
  </si>
  <si>
    <t>Установка меллической двери</t>
  </si>
  <si>
    <t>ремонт козырьков 2 шт</t>
  </si>
  <si>
    <t>Установка пл. окон 3 шт</t>
  </si>
  <si>
    <t>Ремонт оконных откосов</t>
  </si>
  <si>
    <t>Ремонт цементного пола</t>
  </si>
  <si>
    <t>Ремонт оконных откосов, смена остекления</t>
  </si>
  <si>
    <t>Установка радиатора отопления и смена запорной арматуры</t>
  </si>
  <si>
    <t>Установка дверного блока</t>
  </si>
  <si>
    <t>Ремонт дымовых труб, поручня колпака</t>
  </si>
  <si>
    <t>смена участка трубопровода ХВС 1м</t>
  </si>
  <si>
    <t>Смена участка лежака канализации 4м</t>
  </si>
  <si>
    <t>Ремонт пола в ванной комнате</t>
  </si>
  <si>
    <t>Смена ст. ванны</t>
  </si>
  <si>
    <t>Установка пл. окон 3  шт</t>
  </si>
  <si>
    <t>Спиловка деревьев 1шт клены</t>
  </si>
  <si>
    <t>Смена лежака канализации 41,5м</t>
  </si>
  <si>
    <t>Ремонт шиферной кровли 12,25м2</t>
  </si>
  <si>
    <t>ремонт цоколя</t>
  </si>
  <si>
    <t>Смена эл. Проводки МОП 100м</t>
  </si>
  <si>
    <t>Спиловка дерева после пожара</t>
  </si>
  <si>
    <t>Смена стяка ХВС 8,7м</t>
  </si>
  <si>
    <t>смена участка трубопровода отопления 2,2м</t>
  </si>
  <si>
    <t>Установка оконного переплета</t>
  </si>
  <si>
    <t>смена участка розлива отопления 20м</t>
  </si>
  <si>
    <t>Покраска газовой трубы</t>
  </si>
  <si>
    <t>установка пластиковых окон 1шт</t>
  </si>
  <si>
    <t>Ремонт системы отопления в подъезде 4,3м</t>
  </si>
  <si>
    <t>Спиловка деревьев 7шт клены</t>
  </si>
  <si>
    <t>Изготовление и установка козырька</t>
  </si>
  <si>
    <t>Ремонт шиферной кровли 14м2</t>
  </si>
  <si>
    <t>Смена стояка хвс 8,8м</t>
  </si>
  <si>
    <t>Установка пружины</t>
  </si>
  <si>
    <t>Изготовление и установка сливов на козырек</t>
  </si>
  <si>
    <t>Спиловка деревьев 4шт клены</t>
  </si>
  <si>
    <t>ремонт шиферной кровли 10,5м2</t>
  </si>
  <si>
    <t>Покраска пола в МОП</t>
  </si>
  <si>
    <t>Смена основного розлива ХВС 85м</t>
  </si>
  <si>
    <t>Смена выключателя, ремонт гр. Щита</t>
  </si>
  <si>
    <t>Смена участка лежака канализации 9,25м</t>
  </si>
  <si>
    <t>Смена дверных петель( люк выхода на чердак), остекления</t>
  </si>
  <si>
    <t>ремонт мет. Парапета 68м</t>
  </si>
  <si>
    <t>Ремонт пола в тамбуре</t>
  </si>
  <si>
    <t>ремонт дверного полотна, смена остекления</t>
  </si>
  <si>
    <t>Смена стояков ХВС и канализации</t>
  </si>
  <si>
    <t>Смена участка  стояка отопления 8м</t>
  </si>
  <si>
    <t>Замена запорной арматуры на отоплении и участков стояков 47м</t>
  </si>
  <si>
    <t>Ремонт фановой трубы</t>
  </si>
  <si>
    <t>Смена выключателя, автомата</t>
  </si>
  <si>
    <t>Изготовление и установка колпака на фановую трубу</t>
  </si>
  <si>
    <t>установка пластиковых окон 3шт</t>
  </si>
  <si>
    <t>Ремонт гр. Щита без рем. Авт</t>
  </si>
  <si>
    <t>Установка пл. окон 8 шт</t>
  </si>
  <si>
    <t>Покраска газонного ограждения 166м</t>
  </si>
  <si>
    <t>Установка ограждения из баллонов</t>
  </si>
  <si>
    <t>Покраска малых архитектурных форм, огаждения</t>
  </si>
  <si>
    <t>Установка песочницы, лавочек</t>
  </si>
  <si>
    <t>Ремонт лестницы входа в подвал</t>
  </si>
  <si>
    <t>Установка пластиковых окон 5 шт</t>
  </si>
  <si>
    <t>Ремонт мягкой кровли 20м2</t>
  </si>
  <si>
    <t>Заделка отв. После смены стояка хвс</t>
  </si>
  <si>
    <t>Спиловка деревьев 3шт береза, 1шт рябина</t>
  </si>
  <si>
    <t>Ремонт выключателя</t>
  </si>
  <si>
    <t xml:space="preserve">Ремонт трубопровода из п/п высокой прочности ф110 </t>
  </si>
  <si>
    <t>Смена стояка ХВС 30м</t>
  </si>
  <si>
    <t>Смена стояка канализации 21м</t>
  </si>
  <si>
    <t>Ремонт мягкой кровли148м2</t>
  </si>
  <si>
    <t>Установка пластиковых окон 2шт</t>
  </si>
  <si>
    <t>Заделка отв. После смены стояков, смена стекол, шпингалетов</t>
  </si>
  <si>
    <t>Покраска газонного и лавочек</t>
  </si>
  <si>
    <t>Ремонт мягкой кровли 43 м2</t>
  </si>
  <si>
    <t xml:space="preserve">Ремонт мягкой кровли </t>
  </si>
  <si>
    <t>Ремонт межпанельных стыков 35,3м</t>
  </si>
  <si>
    <t>установка лавочек</t>
  </si>
  <si>
    <t>Ремонт силового предох. Шкафа</t>
  </si>
  <si>
    <t>Распиловка   упавших сучков и деревьев к=0,4</t>
  </si>
  <si>
    <t>Смена участков сотяка отопления , запорной арматуры</t>
  </si>
  <si>
    <t>смена участков ливневой каналиции 6м</t>
  </si>
  <si>
    <t>Смена участка стояка канализации 4м</t>
  </si>
  <si>
    <t>ремонт ТАКП</t>
  </si>
  <si>
    <t>Ремонт мягкой кровли</t>
  </si>
  <si>
    <t>Ремонт гр. Щита со сменой авт</t>
  </si>
  <si>
    <t>Распиловка   упавших  деревьев</t>
  </si>
  <si>
    <t>Ремонт крыши схода в подвал</t>
  </si>
  <si>
    <t>Ремонт шиферной кровли 35м2</t>
  </si>
  <si>
    <t>Установка для сушки белья</t>
  </si>
  <si>
    <t>Распиловка   упавшего дерева</t>
  </si>
  <si>
    <t>Смена авт. Выкл.</t>
  </si>
  <si>
    <t>Установка пл. окон 7 шт</t>
  </si>
  <si>
    <t>Монтаж датчиков движения</t>
  </si>
  <si>
    <t>Установка дверного блока схода в подвал</t>
  </si>
  <si>
    <t>Ремонт ступеней в подвале</t>
  </si>
  <si>
    <t>ремонт шиферной кровли 298м2</t>
  </si>
  <si>
    <t>Замена запорной арматуры на отоплении и участков стояков 26м</t>
  </si>
  <si>
    <t>ремонт шиферной кровли 14м2</t>
  </si>
  <si>
    <t>Ремонт подъездного освещения</t>
  </si>
  <si>
    <t>Смена участка канализации 6м</t>
  </si>
  <si>
    <t>Ремонт фасада 45м2</t>
  </si>
  <si>
    <t>Смена участка стояка ХВС</t>
  </si>
  <si>
    <t>Ремонт шиферной кровли 17,5м2</t>
  </si>
  <si>
    <t>Устройство бетонного пандуса</t>
  </si>
  <si>
    <t>ремонт входа в подъезд</t>
  </si>
  <si>
    <t>ремонт шиферной кровли</t>
  </si>
  <si>
    <t>Установка лавочек на дет площ.</t>
  </si>
  <si>
    <t xml:space="preserve">Распиловка   упавшего дерева </t>
  </si>
  <si>
    <t>Заделка борозд после смены эл. Проводки</t>
  </si>
  <si>
    <t xml:space="preserve">Смена выключателя
</t>
  </si>
  <si>
    <t>Спиловка деревьев 2шт тополь</t>
  </si>
  <si>
    <t>Ремонт шиферной кровли 26,25м2</t>
  </si>
  <si>
    <t>Спиловка деревьев 1шт тополь</t>
  </si>
  <si>
    <t xml:space="preserve">Смена Стояка ХВС </t>
  </si>
  <si>
    <t>Смена дверных петель</t>
  </si>
  <si>
    <t>Смена дверных петель,ручек</t>
  </si>
  <si>
    <t>установка лавочек 6шт</t>
  </si>
  <si>
    <t>Установка опор под козырьки</t>
  </si>
  <si>
    <t>Разборка пола для смены канализации</t>
  </si>
  <si>
    <t xml:space="preserve">ремонт хвс </t>
  </si>
  <si>
    <t>Демонтаж светильника уличного освещения</t>
  </si>
  <si>
    <t>Смена участка трубопровода отопления 4м</t>
  </si>
  <si>
    <t>Заделка выбоин в полах</t>
  </si>
  <si>
    <t xml:space="preserve">изготовление и установка козырька </t>
  </si>
  <si>
    <t>Ремонт гр. Щита без ремонта авт</t>
  </si>
  <si>
    <t xml:space="preserve">Смена стояка канализации </t>
  </si>
  <si>
    <t>Установка пл. окон 5 шт</t>
  </si>
  <si>
    <t>Смена авт. Выкл., установка розетки</t>
  </si>
  <si>
    <t>Смена ламп дневного света, светильника</t>
  </si>
  <si>
    <t>Ремонт кирпичной кладка карниза</t>
  </si>
  <si>
    <t xml:space="preserve">спиловка деревьев </t>
  </si>
  <si>
    <t>Заделка подвальных окон</t>
  </si>
  <si>
    <t xml:space="preserve">Смена участка канализации </t>
  </si>
  <si>
    <t>Установка розетки, смена авт. Выключателя</t>
  </si>
  <si>
    <t>Ремонт подъезда</t>
  </si>
  <si>
    <t>Установка шар. Крана на стояке ф20 к=1,15</t>
  </si>
  <si>
    <t>Ремонт мягкой кровли 259м2</t>
  </si>
  <si>
    <t>Ремонт карниза</t>
  </si>
  <si>
    <t>Смена выключателя,светильника</t>
  </si>
  <si>
    <t>Ремонт ВРУ, гр. Щита</t>
  </si>
  <si>
    <t>Установка выбивалки для ковров</t>
  </si>
  <si>
    <t>Смена участка канализации 2,5м</t>
  </si>
  <si>
    <t>ремонт хвс</t>
  </si>
  <si>
    <t>Смена лежака канализации 31м</t>
  </si>
  <si>
    <t>Ремонт отмостки</t>
  </si>
  <si>
    <t>Ремонт межпанельных швов103м</t>
  </si>
  <si>
    <t>Ремонт шиферной кровли 9м2</t>
  </si>
  <si>
    <t>Смена основного розлива отопления</t>
  </si>
  <si>
    <t xml:space="preserve">смена участка трубопровода отопления </t>
  </si>
  <si>
    <t>Ремонт водосточных труб, смена остекления</t>
  </si>
  <si>
    <t>распиловка упавшего дерева</t>
  </si>
  <si>
    <t>Откачка воды из подвала</t>
  </si>
  <si>
    <t xml:space="preserve">Смена участка розлива ХВС </t>
  </si>
  <si>
    <t xml:space="preserve">Замена запорной арматуры на отоплении </t>
  </si>
  <si>
    <t>Смена основного розлива ГВС 345м</t>
  </si>
  <si>
    <t>ремонт канализации</t>
  </si>
  <si>
    <t>Смена светильника, лампы дневного света</t>
  </si>
  <si>
    <t>Смена крана на стояке хвс ф1/2</t>
  </si>
  <si>
    <t>Ремонт гр. Щита со сменой Авт</t>
  </si>
  <si>
    <t>Смена участка канализации</t>
  </si>
  <si>
    <t xml:space="preserve">Замена запорной арматуры на отоплении и участков стояков </t>
  </si>
  <si>
    <t>Ремонт мягкой кровли 287м2</t>
  </si>
  <si>
    <t>Разборка и установка короба</t>
  </si>
  <si>
    <t xml:space="preserve">ремонт трубопровода хвс </t>
  </si>
  <si>
    <t xml:space="preserve">Смена основного розлива </t>
  </si>
  <si>
    <t>Ремонт мягкой кровли 216м2</t>
  </si>
  <si>
    <t xml:space="preserve">Установка светильника </t>
  </si>
  <si>
    <t>Заделка подвальных окон, смена замка</t>
  </si>
  <si>
    <t>с июля по декабрь 2014 год</t>
  </si>
  <si>
    <t>ремонт конька шиферной кровли</t>
  </si>
  <si>
    <t>ОТЧЕТ</t>
  </si>
  <si>
    <t>корректировка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</si>
</sst>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/>
    <xf numFmtId="0" fontId="5" fillId="0" borderId="1" xfId="1" applyFont="1" applyBorder="1" applyAlignment="1">
      <alignment horizontal="left" wrapText="1"/>
    </xf>
    <xf numFmtId="0" fontId="5" fillId="0" borderId="1" xfId="1" quotePrefix="1" applyFont="1" applyBorder="1" applyAlignment="1">
      <alignment horizontal="left" wrapText="1"/>
    </xf>
    <xf numFmtId="0" fontId="5" fillId="0" borderId="1" xfId="0" applyFont="1" applyFill="1" applyBorder="1"/>
    <xf numFmtId="0" fontId="0" fillId="0" borderId="0" xfId="0" applyBorder="1" applyAlignment="1"/>
    <xf numFmtId="0" fontId="0" fillId="0" borderId="0" xfId="0" applyBorder="1"/>
    <xf numFmtId="0" fontId="7" fillId="0" borderId="1" xfId="1" applyFont="1" applyBorder="1" applyAlignment="1">
      <alignment horizontal="left" wrapText="1"/>
    </xf>
    <xf numFmtId="0" fontId="4" fillId="0" borderId="1" xfId="0" applyFont="1" applyFill="1" applyBorder="1"/>
    <xf numFmtId="0" fontId="5" fillId="0" borderId="5" xfId="0" applyFont="1" applyFill="1" applyBorder="1"/>
    <xf numFmtId="0" fontId="6" fillId="0" borderId="1" xfId="1" applyFont="1" applyBorder="1" applyAlignment="1">
      <alignment horizontal="left" wrapText="1"/>
    </xf>
    <xf numFmtId="0" fontId="0" fillId="0" borderId="1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wrapText="1"/>
    </xf>
    <xf numFmtId="0" fontId="5" fillId="0" borderId="2" xfId="1" quotePrefix="1" applyFont="1" applyBorder="1" applyAlignment="1">
      <alignment horizontal="left" wrapText="1"/>
    </xf>
    <xf numFmtId="0" fontId="2" fillId="0" borderId="0" xfId="0" applyFont="1" applyBorder="1"/>
    <xf numFmtId="0" fontId="0" fillId="0" borderId="4" xfId="0" applyBorder="1" applyAlignment="1"/>
    <xf numFmtId="0" fontId="5" fillId="0" borderId="2" xfId="1" quotePrefix="1" applyFont="1" applyBorder="1" applyAlignment="1">
      <alignment horizontal="left" wrapText="1"/>
    </xf>
    <xf numFmtId="0" fontId="0" fillId="0" borderId="4" xfId="0" applyBorder="1" applyAlignment="1"/>
    <xf numFmtId="2" fontId="5" fillId="0" borderId="1" xfId="1" applyNumberFormat="1" applyFill="1" applyBorder="1" applyAlignment="1"/>
    <xf numFmtId="0" fontId="9" fillId="0" borderId="1" xfId="0" applyFont="1" applyBorder="1" applyAlignment="1"/>
    <xf numFmtId="0" fontId="5" fillId="0" borderId="1" xfId="0" applyFont="1" applyBorder="1" applyAlignment="1">
      <alignment wrapText="1"/>
    </xf>
    <xf numFmtId="2" fontId="5" fillId="0" borderId="1" xfId="2" applyNumberFormat="1" applyFill="1" applyBorder="1" applyAlignment="1"/>
    <xf numFmtId="2" fontId="10" fillId="0" borderId="1" xfId="1" applyNumberFormat="1" applyFont="1" applyFill="1" applyBorder="1" applyAlignment="1"/>
    <xf numFmtId="2" fontId="11" fillId="0" borderId="1" xfId="1" applyNumberFormat="1" applyFont="1" applyFill="1" applyBorder="1" applyAlignment="1"/>
    <xf numFmtId="0" fontId="5" fillId="0" borderId="1" xfId="1" applyBorder="1" applyAlignment="1"/>
    <xf numFmtId="0" fontId="9" fillId="0" borderId="1" xfId="0" applyFont="1" applyFill="1" applyBorder="1" applyAlignment="1"/>
    <xf numFmtId="2" fontId="11" fillId="0" borderId="1" xfId="2" applyNumberFormat="1" applyFont="1" applyFill="1" applyBorder="1" applyAlignment="1"/>
    <xf numFmtId="0" fontId="10" fillId="0" borderId="1" xfId="1" applyFont="1" applyBorder="1" applyAlignment="1"/>
    <xf numFmtId="2" fontId="9" fillId="0" borderId="1" xfId="0" applyNumberFormat="1" applyFont="1" applyFill="1" applyBorder="1" applyAlignment="1"/>
    <xf numFmtId="2" fontId="2" fillId="0" borderId="1" xfId="0" applyNumberFormat="1" applyFont="1" applyBorder="1"/>
    <xf numFmtId="2" fontId="5" fillId="0" borderId="1" xfId="1" applyNumberFormat="1" applyBorder="1" applyAlignment="1"/>
    <xf numFmtId="0" fontId="0" fillId="0" borderId="4" xfId="0" applyBorder="1" applyAlignment="1"/>
    <xf numFmtId="0" fontId="11" fillId="0" borderId="1" xfId="1" applyFont="1" applyBorder="1" applyAlignment="1">
      <alignment horizontal="left" wrapText="1"/>
    </xf>
    <xf numFmtId="0" fontId="5" fillId="0" borderId="1" xfId="2" quotePrefix="1" applyFont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5" fillId="0" borderId="1" xfId="0" quotePrefix="1" applyFont="1" applyBorder="1" applyAlignment="1">
      <alignment horizontal="left" wrapText="1"/>
    </xf>
    <xf numFmtId="0" fontId="14" fillId="0" borderId="1" xfId="0" applyFont="1" applyFill="1" applyBorder="1" applyAlignment="1"/>
    <xf numFmtId="2" fontId="0" fillId="0" borderId="1" xfId="0" applyNumberFormat="1" applyBorder="1"/>
    <xf numFmtId="0" fontId="5" fillId="0" borderId="0" xfId="1" quotePrefix="1" applyFont="1" applyBorder="1" applyAlignment="1">
      <alignment horizontal="left" wrapText="1"/>
    </xf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2" xfId="1" quotePrefix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6" fillId="0" borderId="0" xfId="1" quotePrefix="1" applyFont="1" applyBorder="1" applyAlignment="1">
      <alignment horizontal="left" wrapText="1"/>
    </xf>
    <xf numFmtId="0" fontId="8" fillId="0" borderId="0" xfId="0" applyFont="1" applyBorder="1" applyAlignment="1"/>
    <xf numFmtId="0" fontId="6" fillId="0" borderId="2" xfId="1" quotePrefix="1" applyFont="1" applyBorder="1" applyAlignment="1">
      <alignment horizontal="left" wrapText="1"/>
    </xf>
    <xf numFmtId="0" fontId="8" fillId="0" borderId="4" xfId="0" applyFont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2" fillId="0" borderId="2" xfId="0" applyFont="1" applyBorder="1" applyAlignment="1"/>
    <xf numFmtId="0" fontId="7" fillId="0" borderId="2" xfId="1" applyFont="1" applyBorder="1" applyAlignment="1">
      <alignment horizontal="left" wrapText="1"/>
    </xf>
    <xf numFmtId="0" fontId="5" fillId="0" borderId="4" xfId="1" quotePrefix="1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2" xfId="1" quotePrefix="1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1" fillId="0" borderId="2" xfId="2" applyFont="1" applyBorder="1" applyAlignment="1">
      <alignment horizontal="left" wrapText="1"/>
    </xf>
    <xf numFmtId="0" fontId="5" fillId="0" borderId="2" xfId="3" applyFont="1" applyBorder="1" applyAlignment="1">
      <alignment wrapText="1"/>
    </xf>
    <xf numFmtId="0" fontId="13" fillId="0" borderId="2" xfId="0" applyFont="1" applyFill="1" applyBorder="1" applyAlignment="1"/>
    <xf numFmtId="0" fontId="13" fillId="0" borderId="1" xfId="0" applyFont="1" applyFill="1" applyBorder="1" applyAlignment="1"/>
    <xf numFmtId="0" fontId="8" fillId="0" borderId="1" xfId="0" applyFont="1" applyBorder="1" applyAlignment="1"/>
    <xf numFmtId="0" fontId="5" fillId="0" borderId="1" xfId="1" quotePrefix="1" applyFont="1" applyBorder="1" applyAlignment="1">
      <alignment horizontal="left" wrapText="1"/>
    </xf>
    <xf numFmtId="0" fontId="0" fillId="0" borderId="1" xfId="0" applyBorder="1" applyAlignment="1"/>
    <xf numFmtId="0" fontId="4" fillId="0" borderId="1" xfId="0" applyFont="1" applyFill="1" applyBorder="1" applyAlignment="1"/>
    <xf numFmtId="0" fontId="12" fillId="0" borderId="4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1" fillId="0" borderId="2" xfId="2" quotePrefix="1" applyFont="1" applyBorder="1" applyAlignment="1">
      <alignment horizontal="left" wrapText="1"/>
    </xf>
    <xf numFmtId="0" fontId="11" fillId="0" borderId="2" xfId="1" quotePrefix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0" xfId="0" applyAlignment="1"/>
  </cellXfs>
  <cellStyles count="4">
    <cellStyle name="Обычный" xfId="0" builtinId="0"/>
    <cellStyle name="Обычный 2" xfId="3"/>
    <cellStyle name="Обычный_Новые отчеты.xls ноябрь" xfId="1"/>
    <cellStyle name="Обычный_Новые отчеты.xls ноябрь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\2015&#1075;\&#1080;&#1102;&#1083;&#1100;%202015\&#1057;&#1077;&#1076;&#1086;&#1074;&#1072;%20&#1051;.&#1043;,&#1052;&#1072;&#1081;&#1086;&#1088;&#1086;&#1074;&#1072;%20&#1084;%20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дова"/>
      <sheetName val="Лист1"/>
      <sheetName val="Майорова"/>
      <sheetName val="май"/>
      <sheetName val="май 15"/>
      <sheetName val="Лист3"/>
    </sheetNames>
    <sheetDataSet>
      <sheetData sheetId="0"/>
      <sheetData sheetId="1"/>
      <sheetData sheetId="2"/>
      <sheetData sheetId="3">
        <row r="36">
          <cell r="G36">
            <v>4512.6899999999996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3"/>
  <sheetViews>
    <sheetView topLeftCell="A61" workbookViewId="0">
      <selection activeCell="E55" sqref="E55"/>
    </sheetView>
  </sheetViews>
  <sheetFormatPr defaultRowHeight="14.4" x14ac:dyDescent="0.3"/>
  <cols>
    <col min="2" max="2" width="34.33203125" customWidth="1"/>
    <col min="3" max="3" width="17.109375" customWidth="1"/>
    <col min="4" max="4" width="12.77734375" customWidth="1"/>
    <col min="5" max="5" width="14.109375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164</v>
      </c>
      <c r="D6" s="6"/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v>7639.32</v>
      </c>
      <c r="D10" s="1">
        <v>6113.96</v>
      </c>
      <c r="E10" s="1">
        <v>58727.46</v>
      </c>
    </row>
    <row r="11" spans="2:5" x14ac:dyDescent="0.3">
      <c r="B11" s="49" t="s">
        <v>10</v>
      </c>
      <c r="C11" s="50"/>
      <c r="D11" s="51"/>
      <c r="E11" s="1">
        <f>C10-E10</f>
        <v>-51088.14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x14ac:dyDescent="0.3">
      <c r="B15" s="52"/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8" x14ac:dyDescent="0.3">
      <c r="B17" s="60" t="s">
        <v>40</v>
      </c>
      <c r="C17" s="51"/>
      <c r="D17" s="1">
        <v>0</v>
      </c>
      <c r="E17" s="1"/>
    </row>
    <row r="18" spans="2:8" x14ac:dyDescent="0.3">
      <c r="B18" s="52" t="s">
        <v>188</v>
      </c>
      <c r="C18" s="51"/>
      <c r="D18" s="27">
        <v>58727.46</v>
      </c>
      <c r="E18" s="1"/>
      <c r="G18" s="53"/>
      <c r="H18" s="48"/>
    </row>
    <row r="19" spans="2:8" x14ac:dyDescent="0.3">
      <c r="B19" s="52"/>
      <c r="C19" s="51"/>
      <c r="D19" s="1">
        <v>0</v>
      </c>
      <c r="E19" s="1"/>
      <c r="G19" s="47"/>
      <c r="H19" s="48"/>
    </row>
    <row r="20" spans="2:8" x14ac:dyDescent="0.3">
      <c r="B20" s="61" t="s">
        <v>47</v>
      </c>
      <c r="C20" s="51"/>
      <c r="D20" s="1">
        <v>0</v>
      </c>
      <c r="E20" s="1"/>
      <c r="G20" s="47"/>
      <c r="H20" s="48"/>
    </row>
    <row r="21" spans="2:8" x14ac:dyDescent="0.3">
      <c r="B21" s="52"/>
      <c r="C21" s="51"/>
      <c r="D21" s="1">
        <v>0</v>
      </c>
      <c r="E21" s="1"/>
      <c r="G21" s="47"/>
      <c r="H21" s="48"/>
    </row>
    <row r="22" spans="2:8" x14ac:dyDescent="0.3">
      <c r="B22" s="52"/>
      <c r="C22" s="51"/>
      <c r="D22" s="1"/>
      <c r="E22" s="1"/>
      <c r="G22" s="54"/>
      <c r="H22" s="55"/>
    </row>
    <row r="23" spans="2:8" x14ac:dyDescent="0.3">
      <c r="B23" s="52"/>
      <c r="C23" s="51"/>
      <c r="D23" s="1">
        <v>0</v>
      </c>
      <c r="E23" s="1"/>
      <c r="G23" s="47"/>
      <c r="H23" s="48"/>
    </row>
    <row r="24" spans="2:8" x14ac:dyDescent="0.3">
      <c r="B24" s="56" t="s">
        <v>52</v>
      </c>
      <c r="C24" s="57"/>
      <c r="D24" s="1">
        <v>0</v>
      </c>
      <c r="E24" s="1"/>
      <c r="G24" s="47"/>
      <c r="H24" s="48"/>
    </row>
    <row r="25" spans="2:8" x14ac:dyDescent="0.3">
      <c r="B25" s="52" t="s">
        <v>53</v>
      </c>
      <c r="C25" s="51"/>
      <c r="D25" s="1">
        <v>0</v>
      </c>
      <c r="E25" s="1"/>
      <c r="G25" s="58"/>
      <c r="H25" s="48"/>
    </row>
    <row r="26" spans="2:8" x14ac:dyDescent="0.3">
      <c r="B26" s="52"/>
      <c r="C26" s="51"/>
      <c r="D26" s="1">
        <v>0</v>
      </c>
      <c r="E26" s="1"/>
      <c r="G26" s="14"/>
      <c r="H26" s="14"/>
    </row>
    <row r="27" spans="2:8" x14ac:dyDescent="0.3">
      <c r="B27" s="59" t="s">
        <v>42</v>
      </c>
      <c r="C27" s="51"/>
      <c r="D27" s="3">
        <f>SUM(D14:D26)</f>
        <v>58727.46</v>
      </c>
      <c r="E27" s="1"/>
      <c r="G27" s="14"/>
      <c r="H27" s="14"/>
    </row>
    <row r="28" spans="2:8" x14ac:dyDescent="0.3">
      <c r="B28" s="14"/>
      <c r="C28" s="14"/>
      <c r="D28" s="14"/>
      <c r="E28" s="14"/>
      <c r="G28" s="14"/>
      <c r="H28" s="14"/>
    </row>
    <row r="29" spans="2:8" x14ac:dyDescent="0.3">
      <c r="B29" t="s">
        <v>11</v>
      </c>
      <c r="G29" s="14"/>
      <c r="H29" s="14"/>
    </row>
    <row r="30" spans="2:8" x14ac:dyDescent="0.3">
      <c r="B30" t="s">
        <v>12</v>
      </c>
      <c r="C30" t="s">
        <v>13</v>
      </c>
    </row>
    <row r="35" spans="2:5" ht="15.6" x14ac:dyDescent="0.3">
      <c r="C35" s="4" t="s">
        <v>6</v>
      </c>
      <c r="D35" s="4"/>
    </row>
    <row r="36" spans="2:5" x14ac:dyDescent="0.3">
      <c r="B36" s="5" t="s">
        <v>7</v>
      </c>
      <c r="C36" s="5"/>
      <c r="D36" s="5"/>
      <c r="E36" s="5"/>
    </row>
    <row r="37" spans="2:5" x14ac:dyDescent="0.3">
      <c r="B37" s="5"/>
      <c r="C37" s="5" t="s">
        <v>30</v>
      </c>
      <c r="D37" s="5"/>
      <c r="E37" s="5"/>
    </row>
    <row r="38" spans="2:5" x14ac:dyDescent="0.3">
      <c r="B38" t="s">
        <v>163</v>
      </c>
      <c r="C38" t="s">
        <v>186</v>
      </c>
      <c r="D38" s="6"/>
    </row>
    <row r="41" spans="2:5" ht="28.8" x14ac:dyDescent="0.3">
      <c r="B41" s="1" t="s">
        <v>0</v>
      </c>
      <c r="C41" s="2" t="s">
        <v>1</v>
      </c>
      <c r="D41" s="2" t="s">
        <v>2</v>
      </c>
      <c r="E41" s="2" t="s">
        <v>3</v>
      </c>
    </row>
    <row r="42" spans="2:5" x14ac:dyDescent="0.3">
      <c r="B42" s="3" t="s">
        <v>4</v>
      </c>
      <c r="C42" s="1">
        <v>26921.94</v>
      </c>
      <c r="D42" s="1">
        <v>20156.88</v>
      </c>
      <c r="E42" s="1">
        <v>66290.490000000005</v>
      </c>
    </row>
    <row r="43" spans="2:5" x14ac:dyDescent="0.3">
      <c r="B43" s="49" t="s">
        <v>10</v>
      </c>
      <c r="C43" s="50"/>
      <c r="D43" s="51"/>
      <c r="E43" s="1">
        <f>C42-E42</f>
        <v>-39368.550000000003</v>
      </c>
    </row>
    <row r="45" spans="2:5" ht="28.8" x14ac:dyDescent="0.3">
      <c r="B45" s="60" t="s">
        <v>37</v>
      </c>
      <c r="C45" s="51"/>
      <c r="D45" s="21" t="s">
        <v>41</v>
      </c>
      <c r="E45" s="3"/>
    </row>
    <row r="46" spans="2:5" x14ac:dyDescent="0.3">
      <c r="B46" s="60" t="s">
        <v>38</v>
      </c>
      <c r="C46" s="51"/>
      <c r="D46" s="1">
        <v>0</v>
      </c>
      <c r="E46" s="1"/>
    </row>
    <row r="47" spans="2:5" x14ac:dyDescent="0.3">
      <c r="B47" s="52"/>
      <c r="C47" s="51"/>
      <c r="D47" s="1">
        <v>0</v>
      </c>
      <c r="E47" s="1"/>
    </row>
    <row r="48" spans="2:5" x14ac:dyDescent="0.3">
      <c r="B48" s="52"/>
      <c r="C48" s="51"/>
      <c r="D48" s="1">
        <v>0</v>
      </c>
      <c r="E48" s="1"/>
    </row>
    <row r="49" spans="2:5" x14ac:dyDescent="0.3">
      <c r="B49" s="60" t="s">
        <v>40</v>
      </c>
      <c r="C49" s="51"/>
      <c r="D49" s="1">
        <v>0</v>
      </c>
      <c r="E49" s="1"/>
    </row>
    <row r="50" spans="2:5" x14ac:dyDescent="0.3">
      <c r="B50" s="52" t="s">
        <v>189</v>
      </c>
      <c r="C50" s="62"/>
      <c r="D50" s="27">
        <v>54959.53</v>
      </c>
      <c r="E50" s="1"/>
    </row>
    <row r="51" spans="2:5" x14ac:dyDescent="0.3">
      <c r="B51" s="52" t="s">
        <v>190</v>
      </c>
      <c r="C51" s="62"/>
      <c r="D51" s="30">
        <v>5115.1899999999996</v>
      </c>
      <c r="E51" s="1"/>
    </row>
    <row r="52" spans="2:5" x14ac:dyDescent="0.3">
      <c r="B52" s="63" t="s">
        <v>191</v>
      </c>
      <c r="C52" s="64"/>
      <c r="D52" s="27">
        <v>1050.55</v>
      </c>
      <c r="E52" s="1"/>
    </row>
    <row r="53" spans="2:5" x14ac:dyDescent="0.3">
      <c r="B53" s="56" t="s">
        <v>47</v>
      </c>
      <c r="C53" s="57"/>
      <c r="D53" s="1">
        <v>0</v>
      </c>
      <c r="E53" s="1"/>
    </row>
    <row r="54" spans="2:5" x14ac:dyDescent="0.3">
      <c r="B54" s="52" t="s">
        <v>192</v>
      </c>
      <c r="C54" s="51"/>
      <c r="D54" s="27">
        <v>4318.8599999999997</v>
      </c>
      <c r="E54" s="1"/>
    </row>
    <row r="55" spans="2:5" x14ac:dyDescent="0.3">
      <c r="B55" s="52"/>
      <c r="C55" s="51"/>
      <c r="D55" s="1">
        <v>0</v>
      </c>
      <c r="E55" s="1"/>
    </row>
    <row r="56" spans="2:5" x14ac:dyDescent="0.3">
      <c r="B56" s="56" t="s">
        <v>52</v>
      </c>
      <c r="C56" s="57"/>
      <c r="D56" s="1">
        <v>0</v>
      </c>
      <c r="E56" s="1"/>
    </row>
    <row r="57" spans="2:5" ht="15.6" x14ac:dyDescent="0.3">
      <c r="B57" s="52" t="s">
        <v>53</v>
      </c>
      <c r="C57" s="51"/>
      <c r="D57" s="28">
        <v>846.36</v>
      </c>
      <c r="E57" s="1"/>
    </row>
    <row r="58" spans="2:5" x14ac:dyDescent="0.3">
      <c r="B58" s="52"/>
      <c r="C58" s="51"/>
      <c r="D58" s="1">
        <v>0</v>
      </c>
      <c r="E58" s="1"/>
    </row>
    <row r="59" spans="2:5" x14ac:dyDescent="0.3">
      <c r="B59" s="59" t="s">
        <v>42</v>
      </c>
      <c r="C59" s="51"/>
      <c r="D59" s="3">
        <f>SUM(D46:D58)</f>
        <v>66290.490000000005</v>
      </c>
      <c r="E59" s="1"/>
    </row>
    <row r="60" spans="2:5" x14ac:dyDescent="0.3">
      <c r="B60" s="14"/>
      <c r="C60" s="14"/>
      <c r="D60" s="14"/>
      <c r="E60" s="14"/>
    </row>
    <row r="61" spans="2:5" x14ac:dyDescent="0.3">
      <c r="B61" t="s">
        <v>11</v>
      </c>
    </row>
    <row r="62" spans="2:5" x14ac:dyDescent="0.3">
      <c r="B62" t="s">
        <v>12</v>
      </c>
      <c r="C62" t="s">
        <v>13</v>
      </c>
    </row>
    <row r="66" spans="2:5" ht="15.6" x14ac:dyDescent="0.3">
      <c r="C66" s="4" t="s">
        <v>6</v>
      </c>
      <c r="D66" s="4"/>
    </row>
    <row r="67" spans="2:5" x14ac:dyDescent="0.3">
      <c r="B67" s="5" t="s">
        <v>7</v>
      </c>
      <c r="C67" s="5"/>
      <c r="D67" s="5"/>
      <c r="E67" s="5"/>
    </row>
    <row r="68" spans="2:5" x14ac:dyDescent="0.3">
      <c r="B68" s="5"/>
      <c r="C68" s="5" t="s">
        <v>30</v>
      </c>
      <c r="D68" s="5"/>
      <c r="E68" s="5"/>
    </row>
    <row r="69" spans="2:5" x14ac:dyDescent="0.3">
      <c r="B69" t="s">
        <v>163</v>
      </c>
      <c r="C69" t="s">
        <v>187</v>
      </c>
      <c r="D69" s="6"/>
    </row>
    <row r="72" spans="2:5" ht="28.8" x14ac:dyDescent="0.3">
      <c r="B72" s="1" t="s">
        <v>0</v>
      </c>
      <c r="C72" s="2" t="s">
        <v>1</v>
      </c>
      <c r="D72" s="2" t="s">
        <v>2</v>
      </c>
      <c r="E72" s="2" t="s">
        <v>3</v>
      </c>
    </row>
    <row r="73" spans="2:5" x14ac:dyDescent="0.3">
      <c r="B73" s="3" t="s">
        <v>4</v>
      </c>
      <c r="C73" s="1">
        <v>21792.18</v>
      </c>
      <c r="D73" s="1">
        <v>19438.990000000002</v>
      </c>
      <c r="E73" s="1">
        <v>7713.62</v>
      </c>
    </row>
    <row r="74" spans="2:5" x14ac:dyDescent="0.3">
      <c r="B74" s="49" t="s">
        <v>10</v>
      </c>
      <c r="C74" s="50"/>
      <c r="D74" s="51"/>
      <c r="E74" s="1">
        <f>C73-E73</f>
        <v>14078.560000000001</v>
      </c>
    </row>
    <row r="76" spans="2:5" ht="28.8" x14ac:dyDescent="0.3">
      <c r="B76" s="60" t="s">
        <v>37</v>
      </c>
      <c r="C76" s="51"/>
      <c r="D76" s="21" t="s">
        <v>41</v>
      </c>
      <c r="E76" s="3"/>
    </row>
    <row r="77" spans="2:5" x14ac:dyDescent="0.3">
      <c r="B77" s="60" t="s">
        <v>38</v>
      </c>
      <c r="C77" s="51"/>
      <c r="D77" s="1">
        <v>0</v>
      </c>
      <c r="E77" s="1"/>
    </row>
    <row r="78" spans="2:5" x14ac:dyDescent="0.3">
      <c r="B78" s="52"/>
      <c r="C78" s="51"/>
      <c r="D78" s="1">
        <v>0</v>
      </c>
      <c r="E78" s="1"/>
    </row>
    <row r="79" spans="2:5" x14ac:dyDescent="0.3">
      <c r="B79" s="52"/>
      <c r="C79" s="51"/>
      <c r="D79" s="1">
        <v>0</v>
      </c>
      <c r="E79" s="1"/>
    </row>
    <row r="80" spans="2:5" x14ac:dyDescent="0.3">
      <c r="B80" s="60" t="s">
        <v>40</v>
      </c>
      <c r="C80" s="51"/>
      <c r="D80" s="1">
        <v>0</v>
      </c>
      <c r="E80" s="1"/>
    </row>
    <row r="81" spans="2:5" x14ac:dyDescent="0.3">
      <c r="B81" s="52" t="s">
        <v>190</v>
      </c>
      <c r="C81" s="51"/>
      <c r="D81" s="27">
        <v>7713.62</v>
      </c>
      <c r="E81" s="1"/>
    </row>
    <row r="82" spans="2:5" x14ac:dyDescent="0.3">
      <c r="B82" s="52"/>
      <c r="C82" s="51"/>
      <c r="D82" s="1">
        <v>0</v>
      </c>
      <c r="E82" s="1"/>
    </row>
    <row r="83" spans="2:5" x14ac:dyDescent="0.3">
      <c r="B83" s="61" t="s">
        <v>47</v>
      </c>
      <c r="C83" s="51"/>
      <c r="D83" s="1">
        <v>0</v>
      </c>
      <c r="E83" s="1"/>
    </row>
    <row r="84" spans="2:5" x14ac:dyDescent="0.3">
      <c r="B84" s="52"/>
      <c r="C84" s="51"/>
      <c r="D84" s="1">
        <v>0</v>
      </c>
      <c r="E84" s="1"/>
    </row>
    <row r="85" spans="2:5" x14ac:dyDescent="0.3">
      <c r="B85" s="52"/>
      <c r="C85" s="51"/>
      <c r="D85" s="1"/>
      <c r="E85" s="1"/>
    </row>
    <row r="86" spans="2:5" x14ac:dyDescent="0.3">
      <c r="B86" s="52"/>
      <c r="C86" s="51"/>
      <c r="D86" s="1">
        <v>0</v>
      </c>
      <c r="E86" s="1"/>
    </row>
    <row r="87" spans="2:5" x14ac:dyDescent="0.3">
      <c r="B87" s="56" t="s">
        <v>52</v>
      </c>
      <c r="C87" s="57"/>
      <c r="D87" s="1">
        <v>0</v>
      </c>
      <c r="E87" s="1"/>
    </row>
    <row r="88" spans="2:5" x14ac:dyDescent="0.3">
      <c r="B88" s="52" t="s">
        <v>53</v>
      </c>
      <c r="C88" s="51"/>
      <c r="D88" s="1">
        <v>0</v>
      </c>
      <c r="E88" s="1"/>
    </row>
    <row r="89" spans="2:5" x14ac:dyDescent="0.3">
      <c r="B89" s="52"/>
      <c r="C89" s="51"/>
      <c r="D89" s="1">
        <v>0</v>
      </c>
      <c r="E89" s="1"/>
    </row>
    <row r="90" spans="2:5" x14ac:dyDescent="0.3">
      <c r="B90" s="59" t="s">
        <v>42</v>
      </c>
      <c r="C90" s="51"/>
      <c r="D90" s="3">
        <f>SUM(D77:D89)</f>
        <v>7713.62</v>
      </c>
      <c r="E90" s="1"/>
    </row>
    <row r="91" spans="2:5" x14ac:dyDescent="0.3">
      <c r="B91" s="14"/>
      <c r="C91" s="14"/>
      <c r="D91" s="14"/>
      <c r="E91" s="14"/>
    </row>
    <row r="92" spans="2:5" x14ac:dyDescent="0.3">
      <c r="B92" t="s">
        <v>11</v>
      </c>
    </row>
    <row r="93" spans="2:5" x14ac:dyDescent="0.3">
      <c r="B93" t="s">
        <v>12</v>
      </c>
      <c r="C93" t="s">
        <v>13</v>
      </c>
    </row>
  </sheetData>
  <mergeCells count="56">
    <mergeCell ref="B89:C89"/>
    <mergeCell ref="B90:C90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59:C59"/>
    <mergeCell ref="B74:D74"/>
    <mergeCell ref="B76:C76"/>
    <mergeCell ref="B77:C77"/>
    <mergeCell ref="B78:C78"/>
    <mergeCell ref="B54:C54"/>
    <mergeCell ref="B55:C55"/>
    <mergeCell ref="B56:C56"/>
    <mergeCell ref="B57:C57"/>
    <mergeCell ref="B58:C58"/>
    <mergeCell ref="B49:C49"/>
    <mergeCell ref="B50:C50"/>
    <mergeCell ref="B51:C51"/>
    <mergeCell ref="B53:C53"/>
    <mergeCell ref="B52:C52"/>
    <mergeCell ref="B43:D43"/>
    <mergeCell ref="B45:C45"/>
    <mergeCell ref="B46:C46"/>
    <mergeCell ref="B47:C47"/>
    <mergeCell ref="B48:C48"/>
    <mergeCell ref="B26:C26"/>
    <mergeCell ref="B27:C27"/>
    <mergeCell ref="B13:C13"/>
    <mergeCell ref="B14:C14"/>
    <mergeCell ref="B17:C17"/>
    <mergeCell ref="B23:C23"/>
    <mergeCell ref="B20:C20"/>
    <mergeCell ref="B19:C19"/>
    <mergeCell ref="G23:H23"/>
    <mergeCell ref="B24:C24"/>
    <mergeCell ref="G24:H24"/>
    <mergeCell ref="B25:C25"/>
    <mergeCell ref="G25:H25"/>
    <mergeCell ref="G20:H20"/>
    <mergeCell ref="B21:C21"/>
    <mergeCell ref="G21:H21"/>
    <mergeCell ref="B22:C22"/>
    <mergeCell ref="G22:H22"/>
    <mergeCell ref="G19:H19"/>
    <mergeCell ref="B11:D11"/>
    <mergeCell ref="B15:C15"/>
    <mergeCell ref="B16:C16"/>
    <mergeCell ref="B18:C18"/>
    <mergeCell ref="G18:H1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94"/>
  <sheetViews>
    <sheetView topLeftCell="A196" workbookViewId="0">
      <selection activeCell="F190" sqref="F190"/>
    </sheetView>
  </sheetViews>
  <sheetFormatPr defaultRowHeight="14.4" x14ac:dyDescent="0.3"/>
  <cols>
    <col min="2" max="2" width="29.21875" customWidth="1"/>
    <col min="3" max="3" width="17.44140625" customWidth="1"/>
    <col min="4" max="4" width="12.5546875" customWidth="1"/>
    <col min="5" max="5" width="13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177</v>
      </c>
      <c r="D6" s="6">
        <v>1</v>
      </c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v>68798.22</v>
      </c>
      <c r="D10" s="1">
        <v>55903.22</v>
      </c>
      <c r="E10" s="1">
        <v>100305.17</v>
      </c>
    </row>
    <row r="11" spans="2:5" x14ac:dyDescent="0.3">
      <c r="B11" s="49" t="s">
        <v>10</v>
      </c>
      <c r="C11" s="50"/>
      <c r="D11" s="51"/>
      <c r="E11" s="1">
        <f>C10-E10</f>
        <v>-31506.949999999997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ht="15.6" x14ac:dyDescent="0.3">
      <c r="B15" s="52" t="s">
        <v>199</v>
      </c>
      <c r="C15" s="51"/>
      <c r="D15" s="32">
        <v>554.38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60" t="s">
        <v>40</v>
      </c>
      <c r="C17" s="51"/>
      <c r="D17" s="1">
        <v>0</v>
      </c>
      <c r="E17" s="1"/>
    </row>
    <row r="18" spans="2:5" x14ac:dyDescent="0.3">
      <c r="B18" s="52" t="s">
        <v>390</v>
      </c>
      <c r="C18" s="51"/>
      <c r="D18" s="30">
        <v>4608.21</v>
      </c>
      <c r="E18" s="1"/>
    </row>
    <row r="19" spans="2:5" x14ac:dyDescent="0.3">
      <c r="B19" s="52"/>
      <c r="C19" s="51"/>
      <c r="D19" s="1">
        <v>0</v>
      </c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x14ac:dyDescent="0.3">
      <c r="B21" s="52" t="s">
        <v>214</v>
      </c>
      <c r="C21" s="51"/>
      <c r="D21" s="30">
        <v>87655.86</v>
      </c>
      <c r="E21" s="1"/>
    </row>
    <row r="22" spans="2:5" x14ac:dyDescent="0.3">
      <c r="B22" s="52"/>
      <c r="C22" s="51"/>
      <c r="D22" s="1"/>
      <c r="E22" s="1"/>
    </row>
    <row r="23" spans="2:5" x14ac:dyDescent="0.3">
      <c r="B23" s="52"/>
      <c r="C23" s="51"/>
      <c r="D23" s="1">
        <v>0</v>
      </c>
      <c r="E23" s="1"/>
    </row>
    <row r="24" spans="2:5" x14ac:dyDescent="0.3">
      <c r="B24" s="56" t="s">
        <v>52</v>
      </c>
      <c r="C24" s="57"/>
      <c r="D24" s="1">
        <v>0</v>
      </c>
      <c r="E24" s="1"/>
    </row>
    <row r="25" spans="2:5" ht="15.6" x14ac:dyDescent="0.3">
      <c r="B25" s="52" t="s">
        <v>53</v>
      </c>
      <c r="C25" s="51"/>
      <c r="D25" s="34">
        <v>1128.48</v>
      </c>
      <c r="E25" s="1"/>
    </row>
    <row r="26" spans="2:5" x14ac:dyDescent="0.3">
      <c r="B26" s="52" t="s">
        <v>389</v>
      </c>
      <c r="C26" s="51"/>
      <c r="D26" s="30">
        <v>6358.24</v>
      </c>
      <c r="E26" s="1"/>
    </row>
    <row r="27" spans="2:5" x14ac:dyDescent="0.3">
      <c r="B27" s="59" t="s">
        <v>42</v>
      </c>
      <c r="C27" s="51"/>
      <c r="D27" s="3">
        <f>SUM(D14:D26)</f>
        <v>100305.17</v>
      </c>
      <c r="E27" s="1"/>
    </row>
    <row r="28" spans="2:5" x14ac:dyDescent="0.3">
      <c r="B28" s="14"/>
      <c r="C28" s="14"/>
      <c r="D28" s="14"/>
      <c r="E28" s="14"/>
    </row>
    <row r="29" spans="2:5" x14ac:dyDescent="0.3">
      <c r="B29" t="s">
        <v>11</v>
      </c>
    </row>
    <row r="30" spans="2:5" x14ac:dyDescent="0.3">
      <c r="B30" t="s">
        <v>12</v>
      </c>
      <c r="C30" t="s">
        <v>13</v>
      </c>
    </row>
    <row r="34" spans="2:5" ht="15.6" x14ac:dyDescent="0.3">
      <c r="C34" s="4" t="s">
        <v>6</v>
      </c>
      <c r="D34" s="4"/>
    </row>
    <row r="35" spans="2:5" x14ac:dyDescent="0.3">
      <c r="B35" s="5" t="s">
        <v>7</v>
      </c>
      <c r="C35" s="5"/>
      <c r="D35" s="5"/>
      <c r="E35" s="5"/>
    </row>
    <row r="36" spans="2:5" x14ac:dyDescent="0.3">
      <c r="B36" s="5"/>
      <c r="C36" s="5" t="s">
        <v>30</v>
      </c>
      <c r="D36" s="5"/>
      <c r="E36" s="5"/>
    </row>
    <row r="37" spans="2:5" x14ac:dyDescent="0.3">
      <c r="B37" t="s">
        <v>163</v>
      </c>
      <c r="C37" t="s">
        <v>177</v>
      </c>
      <c r="D37" s="6">
        <v>3</v>
      </c>
    </row>
    <row r="40" spans="2:5" ht="28.8" x14ac:dyDescent="0.3">
      <c r="B40" s="1" t="s">
        <v>0</v>
      </c>
      <c r="C40" s="2" t="s">
        <v>1</v>
      </c>
      <c r="D40" s="2" t="s">
        <v>2</v>
      </c>
      <c r="E40" s="2" t="s">
        <v>3</v>
      </c>
    </row>
    <row r="41" spans="2:5" x14ac:dyDescent="0.3">
      <c r="B41" s="3" t="s">
        <v>4</v>
      </c>
      <c r="C41" s="1">
        <v>28701.18</v>
      </c>
      <c r="D41" s="1">
        <v>23183.58</v>
      </c>
      <c r="E41" s="1">
        <v>61484.959999999999</v>
      </c>
    </row>
    <row r="42" spans="2:5" x14ac:dyDescent="0.3">
      <c r="B42" s="49" t="s">
        <v>10</v>
      </c>
      <c r="C42" s="50"/>
      <c r="D42" s="51"/>
      <c r="E42" s="1">
        <f>C41-E41</f>
        <v>-32783.78</v>
      </c>
    </row>
    <row r="44" spans="2:5" ht="28.8" x14ac:dyDescent="0.3">
      <c r="B44" s="60" t="s">
        <v>37</v>
      </c>
      <c r="C44" s="51"/>
      <c r="D44" s="21" t="s">
        <v>41</v>
      </c>
      <c r="E44" s="3"/>
    </row>
    <row r="45" spans="2:5" x14ac:dyDescent="0.3">
      <c r="B45" s="60" t="s">
        <v>38</v>
      </c>
      <c r="C45" s="51"/>
      <c r="D45" s="1">
        <v>0</v>
      </c>
      <c r="E45" s="1"/>
    </row>
    <row r="46" spans="2:5" x14ac:dyDescent="0.3">
      <c r="B46" s="52"/>
      <c r="C46" s="51"/>
      <c r="D46" s="1">
        <v>0</v>
      </c>
      <c r="E46" s="1"/>
    </row>
    <row r="47" spans="2:5" x14ac:dyDescent="0.3">
      <c r="B47" s="52"/>
      <c r="C47" s="51"/>
      <c r="D47" s="1">
        <v>0</v>
      </c>
      <c r="E47" s="1"/>
    </row>
    <row r="48" spans="2:5" x14ac:dyDescent="0.3">
      <c r="B48" s="60" t="s">
        <v>40</v>
      </c>
      <c r="C48" s="51"/>
      <c r="D48" s="1">
        <v>0</v>
      </c>
      <c r="E48" s="1"/>
    </row>
    <row r="49" spans="2:5" x14ac:dyDescent="0.3">
      <c r="B49" s="52" t="s">
        <v>391</v>
      </c>
      <c r="C49" s="51"/>
      <c r="D49" s="27">
        <v>7575.21</v>
      </c>
      <c r="E49" s="1"/>
    </row>
    <row r="50" spans="2:5" ht="15.6" x14ac:dyDescent="0.3">
      <c r="B50" s="52" t="s">
        <v>195</v>
      </c>
      <c r="C50" s="51"/>
      <c r="D50" s="32">
        <v>327.25</v>
      </c>
      <c r="E50" s="1"/>
    </row>
    <row r="51" spans="2:5" x14ac:dyDescent="0.3">
      <c r="B51" s="61" t="s">
        <v>47</v>
      </c>
      <c r="C51" s="51"/>
      <c r="D51" s="1">
        <v>0</v>
      </c>
      <c r="E51" s="1"/>
    </row>
    <row r="52" spans="2:5" ht="15.6" x14ac:dyDescent="0.3">
      <c r="B52" s="52" t="s">
        <v>90</v>
      </c>
      <c r="C52" s="51"/>
      <c r="D52" s="32">
        <v>44704.56</v>
      </c>
      <c r="E52" s="1"/>
    </row>
    <row r="53" spans="2:5" x14ac:dyDescent="0.3">
      <c r="B53" s="52" t="s">
        <v>192</v>
      </c>
      <c r="C53" s="51"/>
      <c r="D53" s="1">
        <f>1350.34+1147.22</f>
        <v>2497.56</v>
      </c>
      <c r="E53" s="1"/>
    </row>
    <row r="54" spans="2:5" x14ac:dyDescent="0.3">
      <c r="B54" s="52" t="s">
        <v>229</v>
      </c>
      <c r="C54" s="51"/>
      <c r="D54" s="27">
        <v>314.8</v>
      </c>
      <c r="E54" s="1"/>
    </row>
    <row r="55" spans="2:5" x14ac:dyDescent="0.3">
      <c r="B55" s="56" t="s">
        <v>52</v>
      </c>
      <c r="C55" s="57"/>
      <c r="D55" s="1">
        <v>0</v>
      </c>
      <c r="E55" s="1"/>
    </row>
    <row r="56" spans="2:5" ht="15.6" x14ac:dyDescent="0.3">
      <c r="B56" s="52" t="s">
        <v>53</v>
      </c>
      <c r="C56" s="51"/>
      <c r="D56" s="34">
        <v>6065.58</v>
      </c>
      <c r="E56" s="1"/>
    </row>
    <row r="57" spans="2:5" x14ac:dyDescent="0.3">
      <c r="B57" s="52"/>
      <c r="C57" s="51"/>
      <c r="D57" s="1">
        <v>0</v>
      </c>
      <c r="E57" s="1"/>
    </row>
    <row r="58" spans="2:5" x14ac:dyDescent="0.3">
      <c r="B58" s="59" t="s">
        <v>42</v>
      </c>
      <c r="C58" s="51"/>
      <c r="D58" s="3">
        <f>SUM(D45:D57)</f>
        <v>61484.959999999999</v>
      </c>
      <c r="E58" s="1"/>
    </row>
    <row r="59" spans="2:5" x14ac:dyDescent="0.3">
      <c r="B59" s="14"/>
      <c r="C59" s="14"/>
      <c r="D59" s="14"/>
      <c r="E59" s="14"/>
    </row>
    <row r="60" spans="2:5" x14ac:dyDescent="0.3">
      <c r="B60" t="s">
        <v>11</v>
      </c>
    </row>
    <row r="61" spans="2:5" x14ac:dyDescent="0.3">
      <c r="B61" t="s">
        <v>12</v>
      </c>
      <c r="C61" t="s">
        <v>13</v>
      </c>
    </row>
    <row r="65" spans="2:5" ht="15.6" x14ac:dyDescent="0.3">
      <c r="C65" s="4" t="s">
        <v>6</v>
      </c>
      <c r="D65" s="4"/>
    </row>
    <row r="66" spans="2:5" x14ac:dyDescent="0.3">
      <c r="B66" s="5" t="s">
        <v>7</v>
      </c>
      <c r="C66" s="5"/>
      <c r="D66" s="5"/>
      <c r="E66" s="5"/>
    </row>
    <row r="67" spans="2:5" x14ac:dyDescent="0.3">
      <c r="B67" s="5"/>
      <c r="C67" s="5" t="s">
        <v>30</v>
      </c>
      <c r="D67" s="5"/>
      <c r="E67" s="5"/>
    </row>
    <row r="68" spans="2:5" x14ac:dyDescent="0.3">
      <c r="B68" t="s">
        <v>163</v>
      </c>
      <c r="C68" t="s">
        <v>177</v>
      </c>
      <c r="D68" s="6" t="s">
        <v>26</v>
      </c>
    </row>
    <row r="71" spans="2:5" ht="28.8" x14ac:dyDescent="0.3">
      <c r="B71" s="1" t="s">
        <v>0</v>
      </c>
      <c r="C71" s="2" t="s">
        <v>1</v>
      </c>
      <c r="D71" s="2" t="s">
        <v>2</v>
      </c>
      <c r="E71" s="2" t="s">
        <v>3</v>
      </c>
    </row>
    <row r="72" spans="2:5" x14ac:dyDescent="0.3">
      <c r="B72" s="3" t="s">
        <v>4</v>
      </c>
      <c r="C72" s="1">
        <v>21754.560000000001</v>
      </c>
      <c r="D72" s="1">
        <v>17969.580000000002</v>
      </c>
      <c r="E72" s="1">
        <v>4654.9799999999996</v>
      </c>
    </row>
    <row r="73" spans="2:5" x14ac:dyDescent="0.3">
      <c r="B73" s="49" t="s">
        <v>10</v>
      </c>
      <c r="C73" s="50"/>
      <c r="D73" s="51"/>
      <c r="E73" s="1">
        <f>C72-E72</f>
        <v>17099.580000000002</v>
      </c>
    </row>
    <row r="75" spans="2:5" ht="28.8" x14ac:dyDescent="0.3">
      <c r="B75" s="60" t="s">
        <v>37</v>
      </c>
      <c r="C75" s="51"/>
      <c r="D75" s="21" t="s">
        <v>41</v>
      </c>
      <c r="E75" s="3"/>
    </row>
    <row r="76" spans="2:5" x14ac:dyDescent="0.3">
      <c r="B76" s="60" t="s">
        <v>38</v>
      </c>
      <c r="C76" s="51"/>
      <c r="D76" s="1">
        <v>0</v>
      </c>
      <c r="E76" s="1"/>
    </row>
    <row r="77" spans="2:5" x14ac:dyDescent="0.3">
      <c r="B77" s="52"/>
      <c r="C77" s="51"/>
      <c r="D77" s="1">
        <v>0</v>
      </c>
      <c r="E77" s="1"/>
    </row>
    <row r="78" spans="2:5" x14ac:dyDescent="0.3">
      <c r="B78" s="52"/>
      <c r="C78" s="51"/>
      <c r="D78" s="1">
        <v>0</v>
      </c>
      <c r="E78" s="1"/>
    </row>
    <row r="79" spans="2:5" x14ac:dyDescent="0.3">
      <c r="B79" s="60" t="s">
        <v>40</v>
      </c>
      <c r="C79" s="51"/>
      <c r="D79" s="1">
        <v>0</v>
      </c>
      <c r="E79" s="1"/>
    </row>
    <row r="80" spans="2:5" x14ac:dyDescent="0.3">
      <c r="B80" s="52"/>
      <c r="C80" s="51"/>
      <c r="D80" s="1">
        <v>0</v>
      </c>
      <c r="E80" s="1"/>
    </row>
    <row r="81" spans="2:5" x14ac:dyDescent="0.3">
      <c r="B81" s="52"/>
      <c r="C81" s="51"/>
      <c r="D81" s="1">
        <v>0</v>
      </c>
      <c r="E81" s="1"/>
    </row>
    <row r="82" spans="2:5" x14ac:dyDescent="0.3">
      <c r="B82" s="61" t="s">
        <v>47</v>
      </c>
      <c r="C82" s="51"/>
      <c r="D82" s="1">
        <v>0</v>
      </c>
      <c r="E82" s="1"/>
    </row>
    <row r="83" spans="2:5" x14ac:dyDescent="0.3">
      <c r="B83" s="52"/>
      <c r="C83" s="51"/>
      <c r="D83" s="1">
        <v>0</v>
      </c>
      <c r="E83" s="1"/>
    </row>
    <row r="84" spans="2:5" x14ac:dyDescent="0.3">
      <c r="B84" s="52"/>
      <c r="C84" s="51"/>
      <c r="D84" s="1"/>
      <c r="E84" s="1"/>
    </row>
    <row r="85" spans="2:5" x14ac:dyDescent="0.3">
      <c r="B85" s="52"/>
      <c r="C85" s="51"/>
      <c r="D85" s="1">
        <v>0</v>
      </c>
      <c r="E85" s="1"/>
    </row>
    <row r="86" spans="2:5" x14ac:dyDescent="0.3">
      <c r="B86" s="56" t="s">
        <v>52</v>
      </c>
      <c r="C86" s="57"/>
      <c r="D86" s="1">
        <v>0</v>
      </c>
      <c r="E86" s="1"/>
    </row>
    <row r="87" spans="2:5" ht="15.6" x14ac:dyDescent="0.3">
      <c r="B87" s="52" t="s">
        <v>53</v>
      </c>
      <c r="C87" s="51"/>
      <c r="D87" s="34">
        <v>4654.9799999999996</v>
      </c>
      <c r="E87" s="1"/>
    </row>
    <row r="88" spans="2:5" x14ac:dyDescent="0.3">
      <c r="B88" s="52"/>
      <c r="C88" s="51"/>
      <c r="D88" s="1">
        <v>0</v>
      </c>
      <c r="E88" s="1"/>
    </row>
    <row r="89" spans="2:5" x14ac:dyDescent="0.3">
      <c r="B89" s="59" t="s">
        <v>42</v>
      </c>
      <c r="C89" s="51"/>
      <c r="D89" s="3">
        <f>SUM(D76:D88)</f>
        <v>4654.9799999999996</v>
      </c>
      <c r="E89" s="1"/>
    </row>
    <row r="90" spans="2:5" x14ac:dyDescent="0.3">
      <c r="B90" s="14"/>
      <c r="C90" s="14"/>
      <c r="D90" s="14"/>
      <c r="E90" s="14"/>
    </row>
    <row r="91" spans="2:5" x14ac:dyDescent="0.3">
      <c r="B91" t="s">
        <v>11</v>
      </c>
    </row>
    <row r="92" spans="2:5" x14ac:dyDescent="0.3">
      <c r="B92" t="s">
        <v>12</v>
      </c>
      <c r="C92" t="s">
        <v>13</v>
      </c>
    </row>
    <row r="97" spans="2:5" ht="15.6" x14ac:dyDescent="0.3">
      <c r="C97" s="4" t="s">
        <v>6</v>
      </c>
      <c r="D97" s="4"/>
    </row>
    <row r="98" spans="2:5" x14ac:dyDescent="0.3">
      <c r="B98" s="5" t="s">
        <v>7</v>
      </c>
      <c r="C98" s="5"/>
      <c r="D98" s="5"/>
      <c r="E98" s="5"/>
    </row>
    <row r="99" spans="2:5" x14ac:dyDescent="0.3">
      <c r="B99" s="5"/>
      <c r="C99" s="5" t="s">
        <v>30</v>
      </c>
      <c r="D99" s="5"/>
      <c r="E99" s="5"/>
    </row>
    <row r="100" spans="2:5" x14ac:dyDescent="0.3">
      <c r="B100" t="s">
        <v>163</v>
      </c>
      <c r="C100" t="s">
        <v>177</v>
      </c>
      <c r="D100" s="6">
        <v>4</v>
      </c>
    </row>
    <row r="103" spans="2:5" ht="28.8" x14ac:dyDescent="0.3">
      <c r="B103" s="1" t="s">
        <v>0</v>
      </c>
      <c r="C103" s="2" t="s">
        <v>1</v>
      </c>
      <c r="D103" s="2" t="s">
        <v>2</v>
      </c>
      <c r="E103" s="2" t="s">
        <v>3</v>
      </c>
    </row>
    <row r="104" spans="2:5" x14ac:dyDescent="0.3">
      <c r="B104" s="3" t="s">
        <v>4</v>
      </c>
      <c r="C104" s="1">
        <v>28411.98</v>
      </c>
      <c r="D104" s="1">
        <v>20091.66</v>
      </c>
      <c r="E104" s="1">
        <v>12959.87</v>
      </c>
    </row>
    <row r="105" spans="2:5" x14ac:dyDescent="0.3">
      <c r="B105" s="49" t="s">
        <v>10</v>
      </c>
      <c r="C105" s="50"/>
      <c r="D105" s="51"/>
      <c r="E105" s="1">
        <f>C104-E104</f>
        <v>15452.109999999999</v>
      </c>
    </row>
    <row r="107" spans="2:5" ht="28.8" x14ac:dyDescent="0.3">
      <c r="B107" s="60" t="s">
        <v>37</v>
      </c>
      <c r="C107" s="51"/>
      <c r="D107" s="21" t="s">
        <v>41</v>
      </c>
      <c r="E107" s="3"/>
    </row>
    <row r="108" spans="2:5" x14ac:dyDescent="0.3">
      <c r="B108" s="60" t="s">
        <v>38</v>
      </c>
      <c r="C108" s="51"/>
      <c r="D108" s="1">
        <v>0</v>
      </c>
      <c r="E108" s="1"/>
    </row>
    <row r="109" spans="2:5" x14ac:dyDescent="0.3">
      <c r="B109" s="52"/>
      <c r="C109" s="51"/>
      <c r="D109" s="1">
        <v>0</v>
      </c>
      <c r="E109" s="1"/>
    </row>
    <row r="110" spans="2:5" x14ac:dyDescent="0.3">
      <c r="B110" s="52"/>
      <c r="C110" s="51"/>
      <c r="D110" s="1">
        <v>0</v>
      </c>
      <c r="E110" s="1"/>
    </row>
    <row r="111" spans="2:5" x14ac:dyDescent="0.3">
      <c r="B111" s="60" t="s">
        <v>40</v>
      </c>
      <c r="C111" s="51"/>
      <c r="D111" s="1">
        <v>0</v>
      </c>
      <c r="E111" s="1"/>
    </row>
    <row r="112" spans="2:5" x14ac:dyDescent="0.3">
      <c r="B112" s="52"/>
      <c r="C112" s="51"/>
      <c r="D112" s="1">
        <v>0</v>
      </c>
      <c r="E112" s="1"/>
    </row>
    <row r="113" spans="2:5" x14ac:dyDescent="0.3">
      <c r="B113" s="52"/>
      <c r="C113" s="51"/>
      <c r="D113" s="1">
        <v>0</v>
      </c>
      <c r="E113" s="1"/>
    </row>
    <row r="114" spans="2:5" x14ac:dyDescent="0.3">
      <c r="B114" s="61" t="s">
        <v>47</v>
      </c>
      <c r="C114" s="51"/>
      <c r="D114" s="1">
        <v>0</v>
      </c>
      <c r="E114" s="1"/>
    </row>
    <row r="115" spans="2:5" x14ac:dyDescent="0.3">
      <c r="B115" s="52" t="s">
        <v>394</v>
      </c>
      <c r="C115" s="51"/>
      <c r="D115" s="30">
        <v>338.95</v>
      </c>
      <c r="E115" s="1"/>
    </row>
    <row r="116" spans="2:5" x14ac:dyDescent="0.3">
      <c r="B116" s="52"/>
      <c r="C116" s="51"/>
      <c r="D116" s="1"/>
      <c r="E116" s="1"/>
    </row>
    <row r="117" spans="2:5" x14ac:dyDescent="0.3">
      <c r="B117" s="52"/>
      <c r="C117" s="51"/>
      <c r="D117" s="1">
        <v>0</v>
      </c>
      <c r="E117" s="1"/>
    </row>
    <row r="118" spans="2:5" x14ac:dyDescent="0.3">
      <c r="B118" s="56" t="s">
        <v>52</v>
      </c>
      <c r="C118" s="57"/>
      <c r="D118" s="1">
        <v>0</v>
      </c>
      <c r="E118" s="1"/>
    </row>
    <row r="119" spans="2:5" ht="15.6" x14ac:dyDescent="0.3">
      <c r="B119" s="52" t="s">
        <v>53</v>
      </c>
      <c r="C119" s="51"/>
      <c r="D119" s="34">
        <v>7429.16</v>
      </c>
      <c r="E119" s="1"/>
    </row>
    <row r="120" spans="2:5" ht="15.6" x14ac:dyDescent="0.3">
      <c r="B120" s="43" t="s">
        <v>393</v>
      </c>
      <c r="C120" s="40"/>
      <c r="D120" s="34">
        <v>1489.83</v>
      </c>
      <c r="E120" s="1"/>
    </row>
    <row r="121" spans="2:5" x14ac:dyDescent="0.3">
      <c r="B121" s="52" t="s">
        <v>392</v>
      </c>
      <c r="C121" s="51"/>
      <c r="D121" s="30">
        <v>3701.93</v>
      </c>
      <c r="E121" s="1"/>
    </row>
    <row r="122" spans="2:5" x14ac:dyDescent="0.3">
      <c r="B122" s="59" t="s">
        <v>42</v>
      </c>
      <c r="C122" s="51"/>
      <c r="D122" s="3">
        <f>SUM(D108:D121)</f>
        <v>12959.869999999999</v>
      </c>
      <c r="E122" s="1"/>
    </row>
    <row r="123" spans="2:5" x14ac:dyDescent="0.3">
      <c r="B123" s="14"/>
      <c r="C123" s="14"/>
      <c r="D123" s="14"/>
      <c r="E123" s="14"/>
    </row>
    <row r="124" spans="2:5" x14ac:dyDescent="0.3">
      <c r="B124" t="s">
        <v>11</v>
      </c>
    </row>
    <row r="125" spans="2:5" x14ac:dyDescent="0.3">
      <c r="B125" t="s">
        <v>12</v>
      </c>
      <c r="C125" t="s">
        <v>13</v>
      </c>
    </row>
    <row r="131" spans="2:5" ht="15.6" x14ac:dyDescent="0.3">
      <c r="C131" s="4" t="s">
        <v>6</v>
      </c>
      <c r="D131" s="4"/>
    </row>
    <row r="132" spans="2:5" x14ac:dyDescent="0.3">
      <c r="B132" s="5" t="s">
        <v>7</v>
      </c>
      <c r="C132" s="5"/>
      <c r="D132" s="5"/>
      <c r="E132" s="5"/>
    </row>
    <row r="133" spans="2:5" x14ac:dyDescent="0.3">
      <c r="B133" s="5"/>
      <c r="C133" s="5" t="s">
        <v>30</v>
      </c>
      <c r="D133" s="5"/>
      <c r="E133" s="5"/>
    </row>
    <row r="134" spans="2:5" x14ac:dyDescent="0.3">
      <c r="B134" t="s">
        <v>163</v>
      </c>
      <c r="C134" t="s">
        <v>177</v>
      </c>
      <c r="D134" s="6">
        <v>5</v>
      </c>
    </row>
    <row r="137" spans="2:5" ht="28.8" x14ac:dyDescent="0.3">
      <c r="B137" s="1" t="s">
        <v>0</v>
      </c>
      <c r="C137" s="2" t="s">
        <v>1</v>
      </c>
      <c r="D137" s="2" t="s">
        <v>2</v>
      </c>
      <c r="E137" s="2" t="s">
        <v>3</v>
      </c>
    </row>
    <row r="138" spans="2:5" x14ac:dyDescent="0.3">
      <c r="B138" s="3" t="s">
        <v>4</v>
      </c>
      <c r="C138" s="1">
        <f>90914.4+7632.41</f>
        <v>98546.81</v>
      </c>
      <c r="D138" s="1">
        <f>72647.03+7632.41</f>
        <v>80279.44</v>
      </c>
      <c r="E138" s="1">
        <v>92764.84</v>
      </c>
    </row>
    <row r="139" spans="2:5" x14ac:dyDescent="0.3">
      <c r="B139" s="49" t="s">
        <v>10</v>
      </c>
      <c r="C139" s="50"/>
      <c r="D139" s="51"/>
      <c r="E139" s="1">
        <f>C138-E138</f>
        <v>5781.9700000000012</v>
      </c>
    </row>
    <row r="141" spans="2:5" ht="28.8" x14ac:dyDescent="0.3">
      <c r="B141" s="60" t="s">
        <v>37</v>
      </c>
      <c r="C141" s="51"/>
      <c r="D141" s="21" t="s">
        <v>41</v>
      </c>
      <c r="E141" s="3"/>
    </row>
    <row r="142" spans="2:5" x14ac:dyDescent="0.3">
      <c r="B142" s="60" t="s">
        <v>38</v>
      </c>
      <c r="C142" s="51"/>
      <c r="D142" s="1">
        <v>0</v>
      </c>
      <c r="E142" s="1"/>
    </row>
    <row r="143" spans="2:5" x14ac:dyDescent="0.3">
      <c r="B143" s="52"/>
      <c r="C143" s="51"/>
      <c r="D143" s="1">
        <v>0</v>
      </c>
      <c r="E143" s="1"/>
    </row>
    <row r="144" spans="2:5" x14ac:dyDescent="0.3">
      <c r="B144" s="52"/>
      <c r="C144" s="51"/>
      <c r="D144" s="1">
        <v>0</v>
      </c>
      <c r="E144" s="1"/>
    </row>
    <row r="145" spans="2:5" x14ac:dyDescent="0.3">
      <c r="B145" s="60" t="s">
        <v>40</v>
      </c>
      <c r="C145" s="51"/>
      <c r="D145" s="1">
        <v>0</v>
      </c>
      <c r="E145" s="1"/>
    </row>
    <row r="146" spans="2:5" x14ac:dyDescent="0.3">
      <c r="B146" s="52" t="s">
        <v>395</v>
      </c>
      <c r="C146" s="51"/>
      <c r="D146" s="27">
        <v>66000</v>
      </c>
      <c r="E146" s="1"/>
    </row>
    <row r="147" spans="2:5" x14ac:dyDescent="0.3">
      <c r="B147" s="52" t="s">
        <v>195</v>
      </c>
      <c r="C147" s="51"/>
      <c r="D147" s="30">
        <v>599.29999999999995</v>
      </c>
      <c r="E147" s="1"/>
    </row>
    <row r="148" spans="2:5" x14ac:dyDescent="0.3">
      <c r="B148" s="61" t="s">
        <v>47</v>
      </c>
      <c r="C148" s="51"/>
      <c r="D148" s="1">
        <v>0</v>
      </c>
      <c r="E148" s="1"/>
    </row>
    <row r="149" spans="2:5" x14ac:dyDescent="0.3">
      <c r="B149" s="52" t="s">
        <v>396</v>
      </c>
      <c r="C149" s="51"/>
      <c r="D149" s="30">
        <v>16869.28</v>
      </c>
      <c r="E149" s="1"/>
    </row>
    <row r="150" spans="2:5" x14ac:dyDescent="0.3">
      <c r="B150" s="52" t="s">
        <v>394</v>
      </c>
      <c r="C150" s="51"/>
      <c r="D150" s="30">
        <v>338.95</v>
      </c>
      <c r="E150" s="1"/>
    </row>
    <row r="151" spans="2:5" x14ac:dyDescent="0.3">
      <c r="B151" s="52"/>
      <c r="C151" s="51"/>
      <c r="D151" s="1">
        <v>0</v>
      </c>
      <c r="E151" s="1"/>
    </row>
    <row r="152" spans="2:5" x14ac:dyDescent="0.3">
      <c r="B152" s="56" t="s">
        <v>52</v>
      </c>
      <c r="C152" s="57"/>
      <c r="D152" s="1">
        <v>0</v>
      </c>
      <c r="E152" s="1"/>
    </row>
    <row r="153" spans="2:5" x14ac:dyDescent="0.3">
      <c r="B153" s="52" t="s">
        <v>53</v>
      </c>
      <c r="C153" s="51"/>
      <c r="D153" s="1">
        <f>2351+6606.31</f>
        <v>8957.3100000000013</v>
      </c>
      <c r="E153" s="1"/>
    </row>
    <row r="154" spans="2:5" x14ac:dyDescent="0.3">
      <c r="B154" s="52"/>
      <c r="C154" s="51"/>
      <c r="D154" s="1">
        <v>0</v>
      </c>
      <c r="E154" s="1"/>
    </row>
    <row r="155" spans="2:5" x14ac:dyDescent="0.3">
      <c r="B155" s="59" t="s">
        <v>42</v>
      </c>
      <c r="C155" s="51"/>
      <c r="D155" s="3">
        <f>SUM(D142:D154)</f>
        <v>92764.84</v>
      </c>
      <c r="E155" s="1"/>
    </row>
    <row r="156" spans="2:5" x14ac:dyDescent="0.3">
      <c r="B156" s="14"/>
      <c r="C156" s="14"/>
      <c r="D156" s="14"/>
      <c r="E156" s="14"/>
    </row>
    <row r="157" spans="2:5" x14ac:dyDescent="0.3">
      <c r="B157" t="s">
        <v>11</v>
      </c>
    </row>
    <row r="158" spans="2:5" x14ac:dyDescent="0.3">
      <c r="B158" t="s">
        <v>12</v>
      </c>
      <c r="C158" t="s">
        <v>13</v>
      </c>
    </row>
    <row r="163" spans="2:5" ht="15.6" x14ac:dyDescent="0.3">
      <c r="C163" s="4" t="s">
        <v>6</v>
      </c>
      <c r="D163" s="4"/>
    </row>
    <row r="164" spans="2:5" x14ac:dyDescent="0.3">
      <c r="B164" s="5" t="s">
        <v>7</v>
      </c>
      <c r="C164" s="5"/>
      <c r="D164" s="5"/>
      <c r="E164" s="5"/>
    </row>
    <row r="165" spans="2:5" x14ac:dyDescent="0.3">
      <c r="B165" s="5"/>
      <c r="C165" s="5" t="s">
        <v>30</v>
      </c>
      <c r="D165" s="5"/>
      <c r="E165" s="5"/>
    </row>
    <row r="166" spans="2:5" x14ac:dyDescent="0.3">
      <c r="B166" t="s">
        <v>163</v>
      </c>
      <c r="C166" t="s">
        <v>177</v>
      </c>
      <c r="D166" s="6">
        <v>7</v>
      </c>
    </row>
    <row r="169" spans="2:5" ht="28.8" x14ac:dyDescent="0.3">
      <c r="B169" s="1" t="s">
        <v>0</v>
      </c>
      <c r="C169" s="2" t="s">
        <v>1</v>
      </c>
      <c r="D169" s="2" t="s">
        <v>2</v>
      </c>
      <c r="E169" s="2" t="s">
        <v>3</v>
      </c>
    </row>
    <row r="170" spans="2:5" x14ac:dyDescent="0.3">
      <c r="B170" s="3" t="s">
        <v>4</v>
      </c>
      <c r="C170" s="1">
        <v>92585.46</v>
      </c>
      <c r="D170" s="1">
        <v>78654.81</v>
      </c>
      <c r="E170" s="1">
        <v>278502.88</v>
      </c>
    </row>
    <row r="171" spans="2:5" x14ac:dyDescent="0.3">
      <c r="B171" s="49" t="s">
        <v>10</v>
      </c>
      <c r="C171" s="50"/>
      <c r="D171" s="51"/>
      <c r="E171" s="1">
        <f>C170-E170</f>
        <v>-185917.41999999998</v>
      </c>
    </row>
    <row r="173" spans="2:5" ht="28.8" x14ac:dyDescent="0.3">
      <c r="B173" s="60" t="s">
        <v>37</v>
      </c>
      <c r="C173" s="51"/>
      <c r="D173" s="21" t="s">
        <v>41</v>
      </c>
      <c r="E173" s="3"/>
    </row>
    <row r="174" spans="2:5" x14ac:dyDescent="0.3">
      <c r="B174" s="60" t="s">
        <v>38</v>
      </c>
      <c r="C174" s="51"/>
      <c r="D174" s="1">
        <v>0</v>
      </c>
      <c r="E174" s="1"/>
    </row>
    <row r="175" spans="2:5" ht="15.6" x14ac:dyDescent="0.3">
      <c r="B175" s="52" t="s">
        <v>218</v>
      </c>
      <c r="C175" s="51"/>
      <c r="D175" s="34">
        <f>4214.72+837.74</f>
        <v>5052.46</v>
      </c>
      <c r="E175" s="1"/>
    </row>
    <row r="176" spans="2:5" x14ac:dyDescent="0.3">
      <c r="B176" s="52" t="s">
        <v>400</v>
      </c>
      <c r="C176" s="51"/>
      <c r="D176" s="39">
        <v>95105.47</v>
      </c>
      <c r="E176" s="1"/>
    </row>
    <row r="177" spans="2:5" x14ac:dyDescent="0.3">
      <c r="B177" s="60" t="s">
        <v>40</v>
      </c>
      <c r="C177" s="51"/>
      <c r="D177" s="1">
        <v>0</v>
      </c>
      <c r="E177" s="1"/>
    </row>
    <row r="178" spans="2:5" ht="15.6" x14ac:dyDescent="0.3">
      <c r="B178" s="52" t="s">
        <v>270</v>
      </c>
      <c r="C178" s="51"/>
      <c r="D178" s="34">
        <v>848.32</v>
      </c>
      <c r="E178" s="1"/>
    </row>
    <row r="179" spans="2:5" x14ac:dyDescent="0.3">
      <c r="B179" s="52" t="s">
        <v>397</v>
      </c>
      <c r="C179" s="51"/>
      <c r="D179" s="27">
        <v>7290.37</v>
      </c>
      <c r="E179" s="1"/>
    </row>
    <row r="180" spans="2:5" x14ac:dyDescent="0.3">
      <c r="B180" s="52" t="s">
        <v>398</v>
      </c>
      <c r="C180" s="51"/>
      <c r="D180" s="39">
        <v>1690.78</v>
      </c>
      <c r="E180" s="1"/>
    </row>
    <row r="181" spans="2:5" ht="15.6" x14ac:dyDescent="0.3">
      <c r="B181" s="52" t="s">
        <v>399</v>
      </c>
      <c r="C181" s="51"/>
      <c r="D181" s="32">
        <v>112673.43</v>
      </c>
      <c r="E181" s="1"/>
    </row>
    <row r="182" spans="2:5" ht="15.6" x14ac:dyDescent="0.3">
      <c r="B182" s="52" t="s">
        <v>113</v>
      </c>
      <c r="C182" s="51"/>
      <c r="D182" s="32">
        <v>48005.05</v>
      </c>
      <c r="E182" s="1"/>
    </row>
    <row r="183" spans="2:5" x14ac:dyDescent="0.3">
      <c r="B183" s="52" t="s">
        <v>97</v>
      </c>
      <c r="C183" s="51"/>
      <c r="D183" s="39">
        <v>654.69000000000005</v>
      </c>
      <c r="E183" s="1"/>
    </row>
    <row r="184" spans="2:5" x14ac:dyDescent="0.3">
      <c r="B184" s="61" t="s">
        <v>47</v>
      </c>
      <c r="C184" s="51"/>
      <c r="D184" s="1">
        <v>0</v>
      </c>
      <c r="E184" s="1"/>
    </row>
    <row r="185" spans="2:5" x14ac:dyDescent="0.3">
      <c r="B185" s="52"/>
      <c r="C185" s="51"/>
      <c r="D185" s="1">
        <v>0</v>
      </c>
      <c r="E185" s="1"/>
    </row>
    <row r="186" spans="2:5" x14ac:dyDescent="0.3">
      <c r="B186" s="52"/>
      <c r="C186" s="51"/>
      <c r="D186" s="1"/>
      <c r="E186" s="1"/>
    </row>
    <row r="187" spans="2:5" x14ac:dyDescent="0.3">
      <c r="B187" s="52"/>
      <c r="C187" s="51"/>
      <c r="D187" s="1">
        <v>0</v>
      </c>
      <c r="E187" s="1"/>
    </row>
    <row r="188" spans="2:5" x14ac:dyDescent="0.3">
      <c r="B188" s="56" t="s">
        <v>52</v>
      </c>
      <c r="C188" s="57"/>
      <c r="D188" s="1">
        <v>0</v>
      </c>
      <c r="E188" s="1"/>
    </row>
    <row r="189" spans="2:5" x14ac:dyDescent="0.3">
      <c r="B189" s="52" t="s">
        <v>53</v>
      </c>
      <c r="C189" s="51"/>
      <c r="D189" s="1">
        <f>2680.14+3667.56</f>
        <v>6347.7</v>
      </c>
      <c r="E189" s="1"/>
    </row>
    <row r="190" spans="2:5" x14ac:dyDescent="0.3">
      <c r="B190" s="52" t="s">
        <v>282</v>
      </c>
      <c r="C190" s="51"/>
      <c r="D190" s="30">
        <v>834.61</v>
      </c>
      <c r="E190" s="1"/>
    </row>
    <row r="191" spans="2:5" x14ac:dyDescent="0.3">
      <c r="B191" s="59" t="s">
        <v>42</v>
      </c>
      <c r="C191" s="51"/>
      <c r="D191" s="3">
        <f>SUM(D174:D190)</f>
        <v>278502.88</v>
      </c>
      <c r="E191" s="1"/>
    </row>
    <row r="192" spans="2:5" x14ac:dyDescent="0.3">
      <c r="B192" s="14"/>
      <c r="C192" s="14"/>
      <c r="D192" s="14"/>
      <c r="E192" s="14"/>
    </row>
    <row r="193" spans="2:3" x14ac:dyDescent="0.3">
      <c r="B193" t="s">
        <v>11</v>
      </c>
    </row>
    <row r="194" spans="2:3" x14ac:dyDescent="0.3">
      <c r="B194" t="s">
        <v>12</v>
      </c>
      <c r="C194" t="s">
        <v>13</v>
      </c>
    </row>
  </sheetData>
  <mergeCells count="100">
    <mergeCell ref="B23:C23"/>
    <mergeCell ref="B11:D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50:C50"/>
    <mergeCell ref="B24:C24"/>
    <mergeCell ref="B25:C25"/>
    <mergeCell ref="B26:C26"/>
    <mergeCell ref="B27:C27"/>
    <mergeCell ref="B42:D42"/>
    <mergeCell ref="B44:C44"/>
    <mergeCell ref="B45:C45"/>
    <mergeCell ref="B46:C46"/>
    <mergeCell ref="B47:C47"/>
    <mergeCell ref="B48:C48"/>
    <mergeCell ref="B49:C49"/>
    <mergeCell ref="B77:C77"/>
    <mergeCell ref="B51:C51"/>
    <mergeCell ref="B52:C52"/>
    <mergeCell ref="B53:C53"/>
    <mergeCell ref="B54:C54"/>
    <mergeCell ref="B55:C55"/>
    <mergeCell ref="B56:C56"/>
    <mergeCell ref="B57:C57"/>
    <mergeCell ref="B58:C58"/>
    <mergeCell ref="B73:D73"/>
    <mergeCell ref="B75:C75"/>
    <mergeCell ref="B76:C76"/>
    <mergeCell ref="B89:C89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117:C117"/>
    <mergeCell ref="B105:D105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47:C147"/>
    <mergeCell ref="B118:C118"/>
    <mergeCell ref="B119:C119"/>
    <mergeCell ref="B121:C121"/>
    <mergeCell ref="B122:C122"/>
    <mergeCell ref="B139:D139"/>
    <mergeCell ref="B141:C141"/>
    <mergeCell ref="B142:C142"/>
    <mergeCell ref="B143:C143"/>
    <mergeCell ref="B144:C144"/>
    <mergeCell ref="B145:C145"/>
    <mergeCell ref="B146:C146"/>
    <mergeCell ref="B175:C17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71:D171"/>
    <mergeCell ref="B173:C173"/>
    <mergeCell ref="B174:C174"/>
    <mergeCell ref="B191:C191"/>
    <mergeCell ref="B176:C176"/>
    <mergeCell ref="B177:C177"/>
    <mergeCell ref="B178:C178"/>
    <mergeCell ref="B179:C179"/>
    <mergeCell ref="B184:C184"/>
    <mergeCell ref="B185:C185"/>
    <mergeCell ref="B186:C186"/>
    <mergeCell ref="B187:C187"/>
    <mergeCell ref="B188:C188"/>
    <mergeCell ref="B189:C189"/>
    <mergeCell ref="B190:C190"/>
    <mergeCell ref="B180:C180"/>
    <mergeCell ref="B183:C183"/>
    <mergeCell ref="B181:C181"/>
    <mergeCell ref="B182:C18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22"/>
  <sheetViews>
    <sheetView topLeftCell="A922" workbookViewId="0">
      <selection activeCell="F915" sqref="F915"/>
    </sheetView>
  </sheetViews>
  <sheetFormatPr defaultRowHeight="14.4" x14ac:dyDescent="0.3"/>
  <cols>
    <col min="2" max="2" width="31" customWidth="1"/>
    <col min="3" max="3" width="16.33203125" customWidth="1"/>
    <col min="4" max="4" width="11.6640625" customWidth="1"/>
    <col min="5" max="5" width="12.5546875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178</v>
      </c>
      <c r="D6" s="6">
        <v>1</v>
      </c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v>22740.48</v>
      </c>
      <c r="D10" s="1">
        <v>19109.7</v>
      </c>
      <c r="E10" s="1">
        <v>1034.44</v>
      </c>
    </row>
    <row r="11" spans="2:5" x14ac:dyDescent="0.3">
      <c r="B11" s="49" t="s">
        <v>10</v>
      </c>
      <c r="C11" s="50"/>
      <c r="D11" s="51"/>
      <c r="E11" s="1">
        <f>C10-E10</f>
        <v>21706.04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x14ac:dyDescent="0.3">
      <c r="B15" s="52"/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60" t="s">
        <v>40</v>
      </c>
      <c r="C17" s="51"/>
      <c r="D17" s="1">
        <v>0</v>
      </c>
      <c r="E17" s="1"/>
    </row>
    <row r="18" spans="2:5" x14ac:dyDescent="0.3">
      <c r="B18" s="52"/>
      <c r="C18" s="51"/>
      <c r="D18" s="1">
        <v>0</v>
      </c>
      <c r="E18" s="1"/>
    </row>
    <row r="19" spans="2:5" x14ac:dyDescent="0.3">
      <c r="B19" s="52"/>
      <c r="C19" s="51"/>
      <c r="D19" s="1">
        <v>0</v>
      </c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x14ac:dyDescent="0.3">
      <c r="B21" s="52"/>
      <c r="C21" s="51"/>
      <c r="D21" s="1">
        <v>0</v>
      </c>
      <c r="E21" s="1"/>
    </row>
    <row r="22" spans="2:5" x14ac:dyDescent="0.3">
      <c r="B22" s="52"/>
      <c r="C22" s="51"/>
      <c r="D22" s="1"/>
      <c r="E22" s="1"/>
    </row>
    <row r="23" spans="2:5" x14ac:dyDescent="0.3">
      <c r="B23" s="52"/>
      <c r="C23" s="51"/>
      <c r="D23" s="1">
        <v>0</v>
      </c>
      <c r="E23" s="1"/>
    </row>
    <row r="24" spans="2:5" x14ac:dyDescent="0.3">
      <c r="B24" s="56" t="s">
        <v>52</v>
      </c>
      <c r="C24" s="57"/>
      <c r="D24" s="1">
        <v>0</v>
      </c>
      <c r="E24" s="1"/>
    </row>
    <row r="25" spans="2:5" x14ac:dyDescent="0.3">
      <c r="B25" s="52" t="s">
        <v>53</v>
      </c>
      <c r="C25" s="51"/>
      <c r="D25" s="1">
        <f>752.32+282.12</f>
        <v>1034.44</v>
      </c>
      <c r="E25" s="1"/>
    </row>
    <row r="26" spans="2:5" x14ac:dyDescent="0.3">
      <c r="B26" s="52"/>
      <c r="C26" s="51"/>
      <c r="D26" s="1">
        <v>0</v>
      </c>
      <c r="E26" s="1"/>
    </row>
    <row r="27" spans="2:5" x14ac:dyDescent="0.3">
      <c r="B27" s="59" t="s">
        <v>42</v>
      </c>
      <c r="C27" s="51"/>
      <c r="D27" s="3">
        <f>SUM(D14:D26)</f>
        <v>1034.44</v>
      </c>
      <c r="E27" s="1"/>
    </row>
    <row r="28" spans="2:5" x14ac:dyDescent="0.3">
      <c r="B28" s="14"/>
      <c r="C28" s="14"/>
      <c r="D28" s="14"/>
      <c r="E28" s="14"/>
    </row>
    <row r="29" spans="2:5" x14ac:dyDescent="0.3">
      <c r="B29" t="s">
        <v>11</v>
      </c>
    </row>
    <row r="30" spans="2:5" x14ac:dyDescent="0.3">
      <c r="B30" t="s">
        <v>12</v>
      </c>
      <c r="C30" t="s">
        <v>13</v>
      </c>
    </row>
    <row r="33" spans="2:5" ht="15.6" x14ac:dyDescent="0.3">
      <c r="C33" s="4" t="s">
        <v>6</v>
      </c>
      <c r="D33" s="4"/>
    </row>
    <row r="34" spans="2:5" x14ac:dyDescent="0.3">
      <c r="B34" s="5" t="s">
        <v>7</v>
      </c>
      <c r="C34" s="5"/>
      <c r="D34" s="5"/>
      <c r="E34" s="5"/>
    </row>
    <row r="35" spans="2:5" x14ac:dyDescent="0.3">
      <c r="B35" s="5"/>
      <c r="C35" s="5" t="s">
        <v>30</v>
      </c>
      <c r="D35" s="5"/>
      <c r="E35" s="5"/>
    </row>
    <row r="36" spans="2:5" x14ac:dyDescent="0.3">
      <c r="B36" t="s">
        <v>163</v>
      </c>
      <c r="C36" t="s">
        <v>178</v>
      </c>
      <c r="D36" s="6">
        <v>2</v>
      </c>
    </row>
    <row r="39" spans="2:5" ht="28.8" x14ac:dyDescent="0.3">
      <c r="B39" s="1" t="s">
        <v>0</v>
      </c>
      <c r="C39" s="2" t="s">
        <v>1</v>
      </c>
      <c r="D39" s="2" t="s">
        <v>2</v>
      </c>
      <c r="E39" s="2" t="s">
        <v>3</v>
      </c>
    </row>
    <row r="40" spans="2:5" x14ac:dyDescent="0.3">
      <c r="B40" s="3" t="s">
        <v>4</v>
      </c>
      <c r="C40" s="1">
        <v>19575.599999999999</v>
      </c>
      <c r="D40" s="1">
        <v>13521.32</v>
      </c>
      <c r="E40" s="1">
        <v>5489.95</v>
      </c>
    </row>
    <row r="41" spans="2:5" x14ac:dyDescent="0.3">
      <c r="B41" s="49" t="s">
        <v>10</v>
      </c>
      <c r="C41" s="50"/>
      <c r="D41" s="51"/>
      <c r="E41" s="1">
        <f>C40-E40</f>
        <v>14085.649999999998</v>
      </c>
    </row>
    <row r="43" spans="2:5" ht="28.8" x14ac:dyDescent="0.3">
      <c r="B43" s="60" t="s">
        <v>37</v>
      </c>
      <c r="C43" s="51"/>
      <c r="D43" s="21" t="s">
        <v>41</v>
      </c>
      <c r="E43" s="3"/>
    </row>
    <row r="44" spans="2:5" x14ac:dyDescent="0.3">
      <c r="B44" s="60" t="s">
        <v>38</v>
      </c>
      <c r="C44" s="51"/>
      <c r="D44" s="1">
        <v>0</v>
      </c>
      <c r="E44" s="1"/>
    </row>
    <row r="45" spans="2:5" x14ac:dyDescent="0.3">
      <c r="B45" s="52"/>
      <c r="C45" s="51"/>
      <c r="D45" s="1">
        <v>0</v>
      </c>
      <c r="E45" s="1"/>
    </row>
    <row r="46" spans="2:5" x14ac:dyDescent="0.3">
      <c r="B46" s="52"/>
      <c r="C46" s="51"/>
      <c r="D46" s="1">
        <v>0</v>
      </c>
      <c r="E46" s="1"/>
    </row>
    <row r="47" spans="2:5" x14ac:dyDescent="0.3">
      <c r="B47" s="60" t="s">
        <v>40</v>
      </c>
      <c r="C47" s="51"/>
      <c r="D47" s="1">
        <v>0</v>
      </c>
      <c r="E47" s="1"/>
    </row>
    <row r="48" spans="2:5" ht="15.6" x14ac:dyDescent="0.3">
      <c r="B48" s="52" t="s">
        <v>401</v>
      </c>
      <c r="C48" s="51"/>
      <c r="D48" s="32">
        <v>5113.79</v>
      </c>
      <c r="E48" s="1"/>
    </row>
    <row r="49" spans="2:5" x14ac:dyDescent="0.3">
      <c r="B49" s="52"/>
      <c r="C49" s="51"/>
      <c r="D49" s="1">
        <v>0</v>
      </c>
      <c r="E49" s="1"/>
    </row>
    <row r="50" spans="2:5" x14ac:dyDescent="0.3">
      <c r="B50" s="61" t="s">
        <v>47</v>
      </c>
      <c r="C50" s="51"/>
      <c r="D50" s="1">
        <v>0</v>
      </c>
      <c r="E50" s="1"/>
    </row>
    <row r="51" spans="2:5" x14ac:dyDescent="0.3">
      <c r="B51" s="52"/>
      <c r="C51" s="51"/>
      <c r="D51" s="1">
        <v>0</v>
      </c>
      <c r="E51" s="1"/>
    </row>
    <row r="52" spans="2:5" x14ac:dyDescent="0.3">
      <c r="B52" s="52"/>
      <c r="C52" s="51"/>
      <c r="D52" s="1"/>
      <c r="E52" s="1"/>
    </row>
    <row r="53" spans="2:5" x14ac:dyDescent="0.3">
      <c r="B53" s="52"/>
      <c r="C53" s="51"/>
      <c r="D53" s="1">
        <v>0</v>
      </c>
      <c r="E53" s="1"/>
    </row>
    <row r="54" spans="2:5" x14ac:dyDescent="0.3">
      <c r="B54" s="56" t="s">
        <v>52</v>
      </c>
      <c r="C54" s="57"/>
      <c r="D54" s="1">
        <v>0</v>
      </c>
      <c r="E54" s="1"/>
    </row>
    <row r="55" spans="2:5" ht="15.6" x14ac:dyDescent="0.3">
      <c r="B55" s="52" t="s">
        <v>53</v>
      </c>
      <c r="C55" s="51"/>
      <c r="D55" s="34">
        <v>376.16</v>
      </c>
      <c r="E55" s="1"/>
    </row>
    <row r="56" spans="2:5" x14ac:dyDescent="0.3">
      <c r="B56" s="52"/>
      <c r="C56" s="51"/>
      <c r="D56" s="1">
        <v>0</v>
      </c>
      <c r="E56" s="1"/>
    </row>
    <row r="57" spans="2:5" x14ac:dyDescent="0.3">
      <c r="B57" s="59" t="s">
        <v>42</v>
      </c>
      <c r="C57" s="51"/>
      <c r="D57" s="3">
        <f>SUM(D44:D56)</f>
        <v>5489.95</v>
      </c>
      <c r="E57" s="1"/>
    </row>
    <row r="58" spans="2:5" x14ac:dyDescent="0.3">
      <c r="B58" s="14"/>
      <c r="C58" s="14"/>
      <c r="D58" s="14"/>
      <c r="E58" s="14"/>
    </row>
    <row r="59" spans="2:5" x14ac:dyDescent="0.3">
      <c r="B59" t="s">
        <v>11</v>
      </c>
    </row>
    <row r="60" spans="2:5" x14ac:dyDescent="0.3">
      <c r="B60" t="s">
        <v>12</v>
      </c>
      <c r="C60" t="s">
        <v>13</v>
      </c>
    </row>
    <row r="64" spans="2:5" ht="15.6" x14ac:dyDescent="0.3">
      <c r="C64" s="4" t="s">
        <v>6</v>
      </c>
      <c r="D64" s="4"/>
    </row>
    <row r="65" spans="2:5" x14ac:dyDescent="0.3">
      <c r="B65" s="5" t="s">
        <v>7</v>
      </c>
      <c r="C65" s="5"/>
      <c r="D65" s="5"/>
      <c r="E65" s="5"/>
    </row>
    <row r="66" spans="2:5" x14ac:dyDescent="0.3">
      <c r="B66" s="5"/>
      <c r="C66" s="5" t="s">
        <v>30</v>
      </c>
      <c r="D66" s="5"/>
      <c r="E66" s="5"/>
    </row>
    <row r="67" spans="2:5" x14ac:dyDescent="0.3">
      <c r="B67" t="s">
        <v>163</v>
      </c>
      <c r="C67" t="s">
        <v>178</v>
      </c>
      <c r="D67" s="6">
        <v>3</v>
      </c>
    </row>
    <row r="70" spans="2:5" ht="28.8" x14ac:dyDescent="0.3">
      <c r="B70" s="1" t="s">
        <v>0</v>
      </c>
      <c r="C70" s="2" t="s">
        <v>1</v>
      </c>
      <c r="D70" s="2" t="s">
        <v>2</v>
      </c>
      <c r="E70" s="2" t="s">
        <v>3</v>
      </c>
    </row>
    <row r="71" spans="2:5" x14ac:dyDescent="0.3">
      <c r="B71" s="3" t="s">
        <v>4</v>
      </c>
      <c r="C71" s="1">
        <v>28583.7</v>
      </c>
      <c r="D71" s="1">
        <v>21208.11</v>
      </c>
      <c r="E71" s="1">
        <v>31745.65</v>
      </c>
    </row>
    <row r="72" spans="2:5" x14ac:dyDescent="0.3">
      <c r="B72" s="49" t="s">
        <v>10</v>
      </c>
      <c r="C72" s="50"/>
      <c r="D72" s="51"/>
      <c r="E72" s="1">
        <f>C71-E71</f>
        <v>-3161.9500000000007</v>
      </c>
    </row>
    <row r="74" spans="2:5" ht="28.8" x14ac:dyDescent="0.3">
      <c r="B74" s="60" t="s">
        <v>37</v>
      </c>
      <c r="C74" s="51"/>
      <c r="D74" s="21" t="s">
        <v>41</v>
      </c>
      <c r="E74" s="3"/>
    </row>
    <row r="75" spans="2:5" x14ac:dyDescent="0.3">
      <c r="B75" s="60" t="s">
        <v>38</v>
      </c>
      <c r="C75" s="51"/>
      <c r="D75" s="1">
        <v>0</v>
      </c>
      <c r="E75" s="1"/>
    </row>
    <row r="76" spans="2:5" x14ac:dyDescent="0.3">
      <c r="B76" s="52" t="s">
        <v>403</v>
      </c>
      <c r="C76" s="51"/>
      <c r="D76" s="33">
        <v>5003.8500000000004</v>
      </c>
      <c r="E76" s="1"/>
    </row>
    <row r="77" spans="2:5" x14ac:dyDescent="0.3">
      <c r="B77" s="52" t="s">
        <v>218</v>
      </c>
      <c r="C77" s="51"/>
      <c r="D77" s="1">
        <f>8429.43+586.42</f>
        <v>9015.85</v>
      </c>
      <c r="E77" s="1"/>
    </row>
    <row r="78" spans="2:5" x14ac:dyDescent="0.3">
      <c r="B78" s="60" t="s">
        <v>40</v>
      </c>
      <c r="C78" s="51"/>
      <c r="D78" s="1">
        <v>0</v>
      </c>
      <c r="E78" s="1"/>
    </row>
    <row r="79" spans="2:5" x14ac:dyDescent="0.3">
      <c r="B79" s="52" t="s">
        <v>70</v>
      </c>
      <c r="C79" s="51"/>
      <c r="D79" s="1">
        <f>8999.62+4481.65</f>
        <v>13481.27</v>
      </c>
      <c r="E79" s="1"/>
    </row>
    <row r="80" spans="2:5" x14ac:dyDescent="0.3">
      <c r="B80" s="52"/>
      <c r="C80" s="51"/>
      <c r="D80" s="1">
        <v>0</v>
      </c>
      <c r="E80" s="1"/>
    </row>
    <row r="81" spans="2:5" x14ac:dyDescent="0.3">
      <c r="B81" s="61" t="s">
        <v>47</v>
      </c>
      <c r="C81" s="51"/>
      <c r="D81" s="1">
        <v>0</v>
      </c>
      <c r="E81" s="1"/>
    </row>
    <row r="82" spans="2:5" ht="15.6" x14ac:dyDescent="0.3">
      <c r="B82" s="52" t="s">
        <v>402</v>
      </c>
      <c r="C82" s="51"/>
      <c r="D82" s="31">
        <f>1703.63+143.03</f>
        <v>1846.66</v>
      </c>
      <c r="E82" s="1"/>
    </row>
    <row r="83" spans="2:5" x14ac:dyDescent="0.3">
      <c r="B83" s="52"/>
      <c r="C83" s="51"/>
      <c r="D83" s="1"/>
      <c r="E83" s="1"/>
    </row>
    <row r="84" spans="2:5" x14ac:dyDescent="0.3">
      <c r="B84" s="52"/>
      <c r="C84" s="51"/>
      <c r="D84" s="1">
        <v>0</v>
      </c>
      <c r="E84" s="1"/>
    </row>
    <row r="85" spans="2:5" x14ac:dyDescent="0.3">
      <c r="B85" s="56" t="s">
        <v>52</v>
      </c>
      <c r="C85" s="57"/>
      <c r="D85" s="1">
        <v>0</v>
      </c>
      <c r="E85" s="1"/>
    </row>
    <row r="86" spans="2:5" x14ac:dyDescent="0.3">
      <c r="B86" s="52" t="s">
        <v>53</v>
      </c>
      <c r="C86" s="51"/>
      <c r="D86" s="1">
        <f>376.16+1363.58+658.28</f>
        <v>2398.02</v>
      </c>
      <c r="E86" s="1"/>
    </row>
    <row r="87" spans="2:5" x14ac:dyDescent="0.3">
      <c r="B87" s="52"/>
      <c r="C87" s="51"/>
      <c r="D87" s="1">
        <v>0</v>
      </c>
      <c r="E87" s="1"/>
    </row>
    <row r="88" spans="2:5" x14ac:dyDescent="0.3">
      <c r="B88" s="59" t="s">
        <v>42</v>
      </c>
      <c r="C88" s="51"/>
      <c r="D88" s="3">
        <f>SUM(D75:D87)</f>
        <v>31745.65</v>
      </c>
      <c r="E88" s="1"/>
    </row>
    <row r="89" spans="2:5" x14ac:dyDescent="0.3">
      <c r="B89" s="14"/>
      <c r="C89" s="14"/>
      <c r="D89" s="14"/>
      <c r="E89" s="14"/>
    </row>
    <row r="90" spans="2:5" x14ac:dyDescent="0.3">
      <c r="B90" t="s">
        <v>11</v>
      </c>
    </row>
    <row r="91" spans="2:5" x14ac:dyDescent="0.3">
      <c r="B91" t="s">
        <v>12</v>
      </c>
      <c r="C91" t="s">
        <v>13</v>
      </c>
    </row>
    <row r="95" spans="2:5" ht="15.6" x14ac:dyDescent="0.3">
      <c r="C95" s="4" t="s">
        <v>6</v>
      </c>
      <c r="D95" s="4"/>
    </row>
    <row r="96" spans="2:5" x14ac:dyDescent="0.3">
      <c r="B96" s="5" t="s">
        <v>7</v>
      </c>
      <c r="C96" s="5"/>
      <c r="D96" s="5"/>
      <c r="E96" s="5"/>
    </row>
    <row r="97" spans="2:5" x14ac:dyDescent="0.3">
      <c r="B97" s="5"/>
      <c r="C97" s="5" t="s">
        <v>30</v>
      </c>
      <c r="D97" s="5"/>
      <c r="E97" s="5"/>
    </row>
    <row r="98" spans="2:5" x14ac:dyDescent="0.3">
      <c r="B98" t="s">
        <v>163</v>
      </c>
      <c r="C98" t="s">
        <v>178</v>
      </c>
      <c r="D98" s="6">
        <v>4</v>
      </c>
    </row>
    <row r="101" spans="2:5" ht="28.8" x14ac:dyDescent="0.3">
      <c r="B101" s="1" t="s">
        <v>0</v>
      </c>
      <c r="C101" s="2" t="s">
        <v>1</v>
      </c>
      <c r="D101" s="2" t="s">
        <v>2</v>
      </c>
      <c r="E101" s="2" t="s">
        <v>3</v>
      </c>
    </row>
    <row r="102" spans="2:5" x14ac:dyDescent="0.3">
      <c r="B102" s="3" t="s">
        <v>4</v>
      </c>
      <c r="C102" s="1">
        <v>21617.63</v>
      </c>
      <c r="D102" s="1">
        <v>12816.6</v>
      </c>
      <c r="E102" s="1">
        <v>50969.01</v>
      </c>
    </row>
    <row r="103" spans="2:5" x14ac:dyDescent="0.3">
      <c r="B103" s="49" t="s">
        <v>10</v>
      </c>
      <c r="C103" s="50"/>
      <c r="D103" s="51"/>
      <c r="E103" s="1">
        <f>C102-E102</f>
        <v>-29351.38</v>
      </c>
    </row>
    <row r="105" spans="2:5" ht="28.8" x14ac:dyDescent="0.3">
      <c r="B105" s="60" t="s">
        <v>37</v>
      </c>
      <c r="C105" s="51"/>
      <c r="D105" s="21" t="s">
        <v>41</v>
      </c>
      <c r="E105" s="3"/>
    </row>
    <row r="106" spans="2:5" x14ac:dyDescent="0.3">
      <c r="B106" s="60" t="s">
        <v>38</v>
      </c>
      <c r="C106" s="51"/>
      <c r="D106" s="1">
        <v>0</v>
      </c>
      <c r="E106" s="1"/>
    </row>
    <row r="107" spans="2:5" x14ac:dyDescent="0.3">
      <c r="B107" s="52"/>
      <c r="C107" s="51"/>
      <c r="D107" s="1">
        <v>0</v>
      </c>
      <c r="E107" s="1"/>
    </row>
    <row r="108" spans="2:5" x14ac:dyDescent="0.3">
      <c r="B108" s="52"/>
      <c r="C108" s="51"/>
      <c r="D108" s="1">
        <v>0</v>
      </c>
      <c r="E108" s="1"/>
    </row>
    <row r="109" spans="2:5" x14ac:dyDescent="0.3">
      <c r="B109" s="60" t="s">
        <v>40</v>
      </c>
      <c r="C109" s="51"/>
      <c r="D109" s="1">
        <v>0</v>
      </c>
      <c r="E109" s="1"/>
    </row>
    <row r="110" spans="2:5" x14ac:dyDescent="0.3">
      <c r="B110" s="52" t="s">
        <v>63</v>
      </c>
      <c r="C110" s="51"/>
      <c r="D110" s="27">
        <v>10378.09</v>
      </c>
      <c r="E110" s="1"/>
    </row>
    <row r="111" spans="2:5" ht="15.6" x14ac:dyDescent="0.3">
      <c r="B111" s="52" t="s">
        <v>404</v>
      </c>
      <c r="C111" s="51"/>
      <c r="D111" s="32">
        <v>39994</v>
      </c>
      <c r="E111" s="1"/>
    </row>
    <row r="112" spans="2:5" x14ac:dyDescent="0.3">
      <c r="B112" s="61" t="s">
        <v>47</v>
      </c>
      <c r="C112" s="51"/>
      <c r="D112" s="1">
        <v>0</v>
      </c>
      <c r="E112" s="1"/>
    </row>
    <row r="113" spans="2:5" x14ac:dyDescent="0.3">
      <c r="B113" s="52" t="s">
        <v>229</v>
      </c>
      <c r="C113" s="51"/>
      <c r="D113" s="27">
        <v>314.8</v>
      </c>
      <c r="E113" s="1"/>
    </row>
    <row r="114" spans="2:5" x14ac:dyDescent="0.3">
      <c r="B114" s="52"/>
      <c r="C114" s="51"/>
      <c r="D114" s="1"/>
      <c r="E114" s="1"/>
    </row>
    <row r="115" spans="2:5" x14ac:dyDescent="0.3">
      <c r="B115" s="52"/>
      <c r="C115" s="51"/>
      <c r="D115" s="1">
        <v>0</v>
      </c>
      <c r="E115" s="1"/>
    </row>
    <row r="116" spans="2:5" x14ac:dyDescent="0.3">
      <c r="B116" s="56" t="s">
        <v>52</v>
      </c>
      <c r="C116" s="57"/>
      <c r="D116" s="1">
        <v>0</v>
      </c>
      <c r="E116" s="1"/>
    </row>
    <row r="117" spans="2:5" ht="15.6" x14ac:dyDescent="0.3">
      <c r="B117" s="52" t="s">
        <v>53</v>
      </c>
      <c r="C117" s="51"/>
      <c r="D117" s="34">
        <v>282.12</v>
      </c>
      <c r="E117" s="1"/>
    </row>
    <row r="118" spans="2:5" x14ac:dyDescent="0.3">
      <c r="B118" s="52"/>
      <c r="C118" s="51"/>
      <c r="D118" s="1">
        <v>0</v>
      </c>
      <c r="E118" s="1"/>
    </row>
    <row r="119" spans="2:5" x14ac:dyDescent="0.3">
      <c r="B119" s="59" t="s">
        <v>42</v>
      </c>
      <c r="C119" s="51"/>
      <c r="D119" s="3">
        <f>SUM(D106:D118)</f>
        <v>50969.01</v>
      </c>
      <c r="E119" s="1"/>
    </row>
    <row r="120" spans="2:5" x14ac:dyDescent="0.3">
      <c r="B120" s="14"/>
      <c r="C120" s="14"/>
      <c r="D120" s="14"/>
      <c r="E120" s="14"/>
    </row>
    <row r="121" spans="2:5" x14ac:dyDescent="0.3">
      <c r="B121" t="s">
        <v>11</v>
      </c>
    </row>
    <row r="122" spans="2:5" x14ac:dyDescent="0.3">
      <c r="B122" t="s">
        <v>12</v>
      </c>
      <c r="C122" t="s">
        <v>13</v>
      </c>
    </row>
    <row r="126" spans="2:5" ht="15.6" x14ac:dyDescent="0.3">
      <c r="C126" s="4" t="s">
        <v>6</v>
      </c>
      <c r="D126" s="4"/>
    </row>
    <row r="127" spans="2:5" x14ac:dyDescent="0.3">
      <c r="B127" s="5" t="s">
        <v>7</v>
      </c>
      <c r="C127" s="5"/>
      <c r="D127" s="5"/>
      <c r="E127" s="5"/>
    </row>
    <row r="128" spans="2:5" x14ac:dyDescent="0.3">
      <c r="B128" s="5"/>
      <c r="C128" s="5" t="s">
        <v>30</v>
      </c>
      <c r="D128" s="5"/>
      <c r="E128" s="5"/>
    </row>
    <row r="129" spans="2:5" x14ac:dyDescent="0.3">
      <c r="B129" t="s">
        <v>163</v>
      </c>
      <c r="C129" t="s">
        <v>178</v>
      </c>
      <c r="D129" s="6">
        <v>5</v>
      </c>
    </row>
    <row r="132" spans="2:5" ht="28.8" x14ac:dyDescent="0.3">
      <c r="B132" s="1" t="s">
        <v>0</v>
      </c>
      <c r="C132" s="2" t="s">
        <v>1</v>
      </c>
      <c r="D132" s="2" t="s">
        <v>2</v>
      </c>
      <c r="E132" s="2" t="s">
        <v>3</v>
      </c>
    </row>
    <row r="133" spans="2:5" x14ac:dyDescent="0.3">
      <c r="B133" s="3" t="s">
        <v>4</v>
      </c>
      <c r="C133" s="1">
        <v>22619.22</v>
      </c>
      <c r="D133" s="1">
        <v>14698.97</v>
      </c>
      <c r="E133" s="1">
        <v>14012.76</v>
      </c>
    </row>
    <row r="134" spans="2:5" x14ac:dyDescent="0.3">
      <c r="B134" s="49" t="s">
        <v>10</v>
      </c>
      <c r="C134" s="50"/>
      <c r="D134" s="51"/>
      <c r="E134" s="1">
        <f>C133-E133</f>
        <v>8606.4600000000009</v>
      </c>
    </row>
    <row r="136" spans="2:5" ht="28.8" x14ac:dyDescent="0.3">
      <c r="B136" s="60" t="s">
        <v>37</v>
      </c>
      <c r="C136" s="51"/>
      <c r="D136" s="21" t="s">
        <v>41</v>
      </c>
      <c r="E136" s="3"/>
    </row>
    <row r="137" spans="2:5" x14ac:dyDescent="0.3">
      <c r="B137" s="60" t="s">
        <v>38</v>
      </c>
      <c r="C137" s="51"/>
      <c r="D137" s="1">
        <v>0</v>
      </c>
      <c r="E137" s="1"/>
    </row>
    <row r="138" spans="2:5" ht="15.6" x14ac:dyDescent="0.3">
      <c r="B138" s="52" t="s">
        <v>405</v>
      </c>
      <c r="C138" s="51"/>
      <c r="D138" s="36">
        <v>3582.98</v>
      </c>
      <c r="E138" s="1"/>
    </row>
    <row r="139" spans="2:5" ht="15.6" x14ac:dyDescent="0.3">
      <c r="B139" s="52" t="s">
        <v>218</v>
      </c>
      <c r="C139" s="51"/>
      <c r="D139" s="34">
        <v>4214.72</v>
      </c>
      <c r="E139" s="1"/>
    </row>
    <row r="140" spans="2:5" x14ac:dyDescent="0.3">
      <c r="B140" s="60" t="s">
        <v>40</v>
      </c>
      <c r="C140" s="51"/>
      <c r="D140" s="1">
        <v>0</v>
      </c>
      <c r="E140" s="1"/>
    </row>
    <row r="141" spans="2:5" x14ac:dyDescent="0.3">
      <c r="B141" s="52" t="s">
        <v>406</v>
      </c>
      <c r="C141" s="51"/>
      <c r="D141" s="27">
        <v>5086.58</v>
      </c>
      <c r="E141" s="1"/>
    </row>
    <row r="142" spans="2:5" x14ac:dyDescent="0.3">
      <c r="B142" s="52"/>
      <c r="C142" s="51"/>
      <c r="D142" s="1">
        <v>0</v>
      </c>
      <c r="E142" s="1"/>
    </row>
    <row r="143" spans="2:5" x14ac:dyDescent="0.3">
      <c r="B143" s="61" t="s">
        <v>47</v>
      </c>
      <c r="C143" s="51"/>
      <c r="D143" s="1">
        <v>0</v>
      </c>
      <c r="E143" s="1"/>
    </row>
    <row r="144" spans="2:5" x14ac:dyDescent="0.3">
      <c r="B144" s="52"/>
      <c r="C144" s="51"/>
      <c r="D144" s="1">
        <v>0</v>
      </c>
      <c r="E144" s="1"/>
    </row>
    <row r="145" spans="2:5" x14ac:dyDescent="0.3">
      <c r="B145" s="52"/>
      <c r="C145" s="51"/>
      <c r="D145" s="1"/>
      <c r="E145" s="1"/>
    </row>
    <row r="146" spans="2:5" x14ac:dyDescent="0.3">
      <c r="B146" s="52"/>
      <c r="C146" s="51"/>
      <c r="D146" s="1">
        <v>0</v>
      </c>
      <c r="E146" s="1"/>
    </row>
    <row r="147" spans="2:5" x14ac:dyDescent="0.3">
      <c r="B147" s="56" t="s">
        <v>52</v>
      </c>
      <c r="C147" s="57"/>
      <c r="D147" s="1">
        <v>0</v>
      </c>
      <c r="E147" s="1"/>
    </row>
    <row r="148" spans="2:5" x14ac:dyDescent="0.3">
      <c r="B148" s="52" t="s">
        <v>53</v>
      </c>
      <c r="C148" s="51"/>
      <c r="D148" s="1">
        <f>282.12+564.24+282.12</f>
        <v>1128.48</v>
      </c>
      <c r="E148" s="1"/>
    </row>
    <row r="149" spans="2:5" x14ac:dyDescent="0.3">
      <c r="B149" s="52"/>
      <c r="C149" s="51"/>
      <c r="D149" s="1">
        <v>0</v>
      </c>
      <c r="E149" s="1"/>
    </row>
    <row r="150" spans="2:5" x14ac:dyDescent="0.3">
      <c r="B150" s="59" t="s">
        <v>42</v>
      </c>
      <c r="C150" s="51"/>
      <c r="D150" s="3">
        <f>SUM(D137:D149)</f>
        <v>14012.76</v>
      </c>
      <c r="E150" s="1"/>
    </row>
    <row r="151" spans="2:5" x14ac:dyDescent="0.3">
      <c r="B151" s="14"/>
      <c r="C151" s="14"/>
      <c r="D151" s="14"/>
      <c r="E151" s="14"/>
    </row>
    <row r="152" spans="2:5" x14ac:dyDescent="0.3">
      <c r="B152" t="s">
        <v>11</v>
      </c>
    </row>
    <row r="153" spans="2:5" x14ac:dyDescent="0.3">
      <c r="B153" t="s">
        <v>12</v>
      </c>
      <c r="C153" t="s">
        <v>13</v>
      </c>
    </row>
    <row r="157" spans="2:5" ht="15.6" x14ac:dyDescent="0.3">
      <c r="C157" s="4" t="s">
        <v>6</v>
      </c>
      <c r="D157" s="4"/>
    </row>
    <row r="158" spans="2:5" x14ac:dyDescent="0.3">
      <c r="B158" s="5" t="s">
        <v>7</v>
      </c>
      <c r="C158" s="5"/>
      <c r="D158" s="5"/>
      <c r="E158" s="5"/>
    </row>
    <row r="159" spans="2:5" x14ac:dyDescent="0.3">
      <c r="B159" s="5"/>
      <c r="C159" s="5" t="s">
        <v>30</v>
      </c>
      <c r="D159" s="5"/>
      <c r="E159" s="5"/>
    </row>
    <row r="160" spans="2:5" x14ac:dyDescent="0.3">
      <c r="B160" t="s">
        <v>163</v>
      </c>
      <c r="C160" t="s">
        <v>178</v>
      </c>
      <c r="D160" s="6">
        <v>6</v>
      </c>
    </row>
    <row r="163" spans="2:5" ht="28.8" x14ac:dyDescent="0.3">
      <c r="B163" s="1" t="s">
        <v>0</v>
      </c>
      <c r="C163" s="2" t="s">
        <v>1</v>
      </c>
      <c r="D163" s="2" t="s">
        <v>2</v>
      </c>
      <c r="E163" s="2" t="s">
        <v>3</v>
      </c>
    </row>
    <row r="164" spans="2:5" x14ac:dyDescent="0.3">
      <c r="B164" s="3" t="s">
        <v>4</v>
      </c>
      <c r="C164" s="1">
        <v>19532.7</v>
      </c>
      <c r="D164" s="1">
        <v>17178.310000000001</v>
      </c>
      <c r="E164" s="1">
        <v>470.2</v>
      </c>
    </row>
    <row r="165" spans="2:5" x14ac:dyDescent="0.3">
      <c r="B165" s="49" t="s">
        <v>10</v>
      </c>
      <c r="C165" s="50"/>
      <c r="D165" s="51"/>
      <c r="E165" s="1">
        <f>C164-E164</f>
        <v>19062.5</v>
      </c>
    </row>
    <row r="167" spans="2:5" ht="28.8" x14ac:dyDescent="0.3">
      <c r="B167" s="60" t="s">
        <v>37</v>
      </c>
      <c r="C167" s="51"/>
      <c r="D167" s="21" t="s">
        <v>41</v>
      </c>
      <c r="E167" s="3"/>
    </row>
    <row r="168" spans="2:5" x14ac:dyDescent="0.3">
      <c r="B168" s="60" t="s">
        <v>38</v>
      </c>
      <c r="C168" s="51"/>
      <c r="D168" s="1">
        <v>0</v>
      </c>
      <c r="E168" s="1"/>
    </row>
    <row r="169" spans="2:5" x14ac:dyDescent="0.3">
      <c r="B169" s="52"/>
      <c r="C169" s="51"/>
      <c r="D169" s="1">
        <v>0</v>
      </c>
      <c r="E169" s="1"/>
    </row>
    <row r="170" spans="2:5" x14ac:dyDescent="0.3">
      <c r="B170" s="52"/>
      <c r="C170" s="51"/>
      <c r="D170" s="1">
        <v>0</v>
      </c>
      <c r="E170" s="1"/>
    </row>
    <row r="171" spans="2:5" x14ac:dyDescent="0.3">
      <c r="B171" s="60" t="s">
        <v>40</v>
      </c>
      <c r="C171" s="51"/>
      <c r="D171" s="1">
        <v>0</v>
      </c>
      <c r="E171" s="1"/>
    </row>
    <row r="172" spans="2:5" x14ac:dyDescent="0.3">
      <c r="B172" s="52"/>
      <c r="C172" s="51"/>
      <c r="D172" s="1">
        <v>0</v>
      </c>
      <c r="E172" s="1"/>
    </row>
    <row r="173" spans="2:5" x14ac:dyDescent="0.3">
      <c r="B173" s="52"/>
      <c r="C173" s="51"/>
      <c r="D173" s="1">
        <v>0</v>
      </c>
      <c r="E173" s="1"/>
    </row>
    <row r="174" spans="2:5" x14ac:dyDescent="0.3">
      <c r="B174" s="61" t="s">
        <v>47</v>
      </c>
      <c r="C174" s="51"/>
      <c r="D174" s="1">
        <v>0</v>
      </c>
      <c r="E174" s="1"/>
    </row>
    <row r="175" spans="2:5" x14ac:dyDescent="0.3">
      <c r="B175" s="52"/>
      <c r="C175" s="51"/>
      <c r="D175" s="1">
        <v>0</v>
      </c>
      <c r="E175" s="1"/>
    </row>
    <row r="176" spans="2:5" x14ac:dyDescent="0.3">
      <c r="B176" s="52"/>
      <c r="C176" s="51"/>
      <c r="D176" s="1"/>
      <c r="E176" s="1"/>
    </row>
    <row r="177" spans="2:5" x14ac:dyDescent="0.3">
      <c r="B177" s="52"/>
      <c r="C177" s="51"/>
      <c r="D177" s="1">
        <v>0</v>
      </c>
      <c r="E177" s="1"/>
    </row>
    <row r="178" spans="2:5" x14ac:dyDescent="0.3">
      <c r="B178" s="56" t="s">
        <v>52</v>
      </c>
      <c r="C178" s="57"/>
      <c r="D178" s="1">
        <v>0</v>
      </c>
      <c r="E178" s="1"/>
    </row>
    <row r="179" spans="2:5" ht="15.6" x14ac:dyDescent="0.3">
      <c r="B179" s="52" t="s">
        <v>53</v>
      </c>
      <c r="C179" s="51"/>
      <c r="D179" s="34">
        <v>470.2</v>
      </c>
      <c r="E179" s="1"/>
    </row>
    <row r="180" spans="2:5" x14ac:dyDescent="0.3">
      <c r="B180" s="52"/>
      <c r="C180" s="51"/>
      <c r="D180" s="1">
        <v>0</v>
      </c>
      <c r="E180" s="1"/>
    </row>
    <row r="181" spans="2:5" x14ac:dyDescent="0.3">
      <c r="B181" s="59" t="s">
        <v>42</v>
      </c>
      <c r="C181" s="51"/>
      <c r="D181" s="3">
        <f>SUM(D168:D180)</f>
        <v>470.2</v>
      </c>
      <c r="E181" s="1"/>
    </row>
    <row r="182" spans="2:5" x14ac:dyDescent="0.3">
      <c r="B182" s="14"/>
      <c r="C182" s="14"/>
      <c r="D182" s="14"/>
      <c r="E182" s="14"/>
    </row>
    <row r="183" spans="2:5" x14ac:dyDescent="0.3">
      <c r="B183" t="s">
        <v>11</v>
      </c>
    </row>
    <row r="184" spans="2:5" x14ac:dyDescent="0.3">
      <c r="B184" t="s">
        <v>12</v>
      </c>
      <c r="C184" t="s">
        <v>13</v>
      </c>
    </row>
    <row r="188" spans="2:5" ht="15.6" x14ac:dyDescent="0.3">
      <c r="C188" s="4" t="s">
        <v>6</v>
      </c>
      <c r="D188" s="4"/>
    </row>
    <row r="189" spans="2:5" x14ac:dyDescent="0.3">
      <c r="B189" s="5" t="s">
        <v>7</v>
      </c>
      <c r="C189" s="5"/>
      <c r="D189" s="5"/>
      <c r="E189" s="5"/>
    </row>
    <row r="190" spans="2:5" x14ac:dyDescent="0.3">
      <c r="B190" s="5"/>
      <c r="C190" s="5" t="s">
        <v>30</v>
      </c>
      <c r="D190" s="5"/>
      <c r="E190" s="5"/>
    </row>
    <row r="191" spans="2:5" x14ac:dyDescent="0.3">
      <c r="B191" t="s">
        <v>163</v>
      </c>
      <c r="C191" t="s">
        <v>178</v>
      </c>
      <c r="D191" s="6">
        <v>7</v>
      </c>
    </row>
    <row r="194" spans="2:5" ht="28.8" x14ac:dyDescent="0.3">
      <c r="B194" s="1" t="s">
        <v>0</v>
      </c>
      <c r="C194" s="2" t="s">
        <v>1</v>
      </c>
      <c r="D194" s="2" t="s">
        <v>2</v>
      </c>
      <c r="E194" s="2" t="s">
        <v>3</v>
      </c>
    </row>
    <row r="195" spans="2:5" x14ac:dyDescent="0.3">
      <c r="B195" s="3" t="s">
        <v>4</v>
      </c>
      <c r="C195" s="1">
        <v>18323.580000000002</v>
      </c>
      <c r="D195" s="1">
        <v>16768.900000000001</v>
      </c>
      <c r="E195" s="1">
        <v>11587.26</v>
      </c>
    </row>
    <row r="196" spans="2:5" x14ac:dyDescent="0.3">
      <c r="B196" s="49" t="s">
        <v>10</v>
      </c>
      <c r="C196" s="50"/>
      <c r="D196" s="51"/>
      <c r="E196" s="1">
        <f>C195-E195</f>
        <v>6736.3200000000015</v>
      </c>
    </row>
    <row r="198" spans="2:5" ht="28.8" x14ac:dyDescent="0.3">
      <c r="B198" s="60" t="s">
        <v>37</v>
      </c>
      <c r="C198" s="51"/>
      <c r="D198" s="21" t="s">
        <v>41</v>
      </c>
      <c r="E198" s="3"/>
    </row>
    <row r="199" spans="2:5" x14ac:dyDescent="0.3">
      <c r="B199" s="60" t="s">
        <v>38</v>
      </c>
      <c r="C199" s="51"/>
      <c r="D199" s="1">
        <v>0</v>
      </c>
      <c r="E199" s="1"/>
    </row>
    <row r="200" spans="2:5" x14ac:dyDescent="0.3">
      <c r="B200" s="52"/>
      <c r="C200" s="51"/>
      <c r="D200" s="1">
        <v>0</v>
      </c>
      <c r="E200" s="1"/>
    </row>
    <row r="201" spans="2:5" x14ac:dyDescent="0.3">
      <c r="B201" s="52"/>
      <c r="C201" s="51"/>
      <c r="D201" s="1">
        <v>0</v>
      </c>
      <c r="E201" s="1"/>
    </row>
    <row r="202" spans="2:5" x14ac:dyDescent="0.3">
      <c r="B202" s="60" t="s">
        <v>40</v>
      </c>
      <c r="C202" s="51"/>
      <c r="D202" s="1">
        <v>0</v>
      </c>
      <c r="E202" s="1"/>
    </row>
    <row r="203" spans="2:5" x14ac:dyDescent="0.3">
      <c r="B203" s="52" t="s">
        <v>70</v>
      </c>
      <c r="C203" s="51"/>
      <c r="D203" s="27">
        <v>4861.6099999999997</v>
      </c>
      <c r="E203" s="1"/>
    </row>
    <row r="204" spans="2:5" ht="15.6" x14ac:dyDescent="0.3">
      <c r="B204" s="52" t="s">
        <v>407</v>
      </c>
      <c r="C204" s="51"/>
      <c r="D204" s="34">
        <v>660.86</v>
      </c>
      <c r="E204" s="1"/>
    </row>
    <row r="205" spans="2:5" x14ac:dyDescent="0.3">
      <c r="B205" s="61" t="s">
        <v>47</v>
      </c>
      <c r="C205" s="51"/>
      <c r="D205" s="1">
        <v>0</v>
      </c>
      <c r="E205" s="1"/>
    </row>
    <row r="206" spans="2:5" x14ac:dyDescent="0.3">
      <c r="B206" s="52"/>
      <c r="C206" s="51"/>
      <c r="D206" s="1">
        <v>0</v>
      </c>
      <c r="E206" s="1"/>
    </row>
    <row r="207" spans="2:5" x14ac:dyDescent="0.3">
      <c r="B207" s="52"/>
      <c r="C207" s="51"/>
      <c r="D207" s="1"/>
      <c r="E207" s="1"/>
    </row>
    <row r="208" spans="2:5" x14ac:dyDescent="0.3">
      <c r="B208" s="52"/>
      <c r="C208" s="51"/>
      <c r="D208" s="1">
        <v>0</v>
      </c>
      <c r="E208" s="1"/>
    </row>
    <row r="209" spans="2:5" x14ac:dyDescent="0.3">
      <c r="B209" s="56" t="s">
        <v>52</v>
      </c>
      <c r="C209" s="57"/>
      <c r="D209" s="1">
        <v>0</v>
      </c>
      <c r="E209" s="1"/>
    </row>
    <row r="210" spans="2:5" ht="15.6" x14ac:dyDescent="0.3">
      <c r="B210" s="52" t="s">
        <v>53</v>
      </c>
      <c r="C210" s="51"/>
      <c r="D210" s="34">
        <v>376.16</v>
      </c>
      <c r="E210" s="1"/>
    </row>
    <row r="211" spans="2:5" ht="15.6" x14ac:dyDescent="0.3">
      <c r="B211" s="52" t="s">
        <v>196</v>
      </c>
      <c r="C211" s="51"/>
      <c r="D211" s="37">
        <f>10804.91/2+286.17</f>
        <v>5688.625</v>
      </c>
      <c r="E211" s="1"/>
    </row>
    <row r="212" spans="2:5" x14ac:dyDescent="0.3">
      <c r="B212" s="59" t="s">
        <v>42</v>
      </c>
      <c r="C212" s="51"/>
      <c r="D212" s="38">
        <f>SUM(D199:D211)</f>
        <v>11587.254999999999</v>
      </c>
      <c r="E212" s="1"/>
    </row>
    <row r="213" spans="2:5" x14ac:dyDescent="0.3">
      <c r="B213" s="14"/>
      <c r="C213" s="14"/>
      <c r="D213" s="14"/>
      <c r="E213" s="14"/>
    </row>
    <row r="214" spans="2:5" x14ac:dyDescent="0.3">
      <c r="B214" t="s">
        <v>11</v>
      </c>
    </row>
    <row r="215" spans="2:5" x14ac:dyDescent="0.3">
      <c r="B215" t="s">
        <v>12</v>
      </c>
      <c r="C215" t="s">
        <v>13</v>
      </c>
    </row>
    <row r="219" spans="2:5" ht="15.6" x14ac:dyDescent="0.3">
      <c r="C219" s="4" t="s">
        <v>6</v>
      </c>
      <c r="D219" s="4"/>
    </row>
    <row r="220" spans="2:5" x14ac:dyDescent="0.3">
      <c r="B220" s="5" t="s">
        <v>7</v>
      </c>
      <c r="C220" s="5"/>
      <c r="D220" s="5"/>
      <c r="E220" s="5"/>
    </row>
    <row r="221" spans="2:5" x14ac:dyDescent="0.3">
      <c r="B221" s="5"/>
      <c r="C221" s="5" t="s">
        <v>30</v>
      </c>
      <c r="D221" s="5"/>
      <c r="E221" s="5"/>
    </row>
    <row r="222" spans="2:5" x14ac:dyDescent="0.3">
      <c r="B222" t="s">
        <v>163</v>
      </c>
      <c r="C222" t="s">
        <v>178</v>
      </c>
      <c r="D222" s="6">
        <v>8</v>
      </c>
    </row>
    <row r="225" spans="2:5" ht="28.8" x14ac:dyDescent="0.3">
      <c r="B225" s="1" t="s">
        <v>0</v>
      </c>
      <c r="C225" s="2" t="s">
        <v>1</v>
      </c>
      <c r="D225" s="2" t="s">
        <v>2</v>
      </c>
      <c r="E225" s="2" t="s">
        <v>3</v>
      </c>
    </row>
    <row r="226" spans="2:5" x14ac:dyDescent="0.3">
      <c r="B226" s="3" t="s">
        <v>4</v>
      </c>
      <c r="C226" s="1">
        <f>46701.06+9975.57</f>
        <v>56676.63</v>
      </c>
      <c r="D226" s="1">
        <f>38658.86+9975.57</f>
        <v>48634.43</v>
      </c>
      <c r="E226" s="1">
        <v>2008.91</v>
      </c>
    </row>
    <row r="227" spans="2:5" x14ac:dyDescent="0.3">
      <c r="B227" s="49" t="s">
        <v>10</v>
      </c>
      <c r="C227" s="50"/>
      <c r="D227" s="51"/>
      <c r="E227" s="1">
        <f>C226-E226</f>
        <v>54667.719999999994</v>
      </c>
    </row>
    <row r="229" spans="2:5" ht="28.8" x14ac:dyDescent="0.3">
      <c r="B229" s="60" t="s">
        <v>37</v>
      </c>
      <c r="C229" s="51"/>
      <c r="D229" s="21" t="s">
        <v>41</v>
      </c>
      <c r="E229" s="3"/>
    </row>
    <row r="230" spans="2:5" x14ac:dyDescent="0.3">
      <c r="B230" s="60" t="s">
        <v>38</v>
      </c>
      <c r="C230" s="51"/>
      <c r="D230" s="1">
        <v>0</v>
      </c>
      <c r="E230" s="1"/>
    </row>
    <row r="231" spans="2:5" x14ac:dyDescent="0.3">
      <c r="B231" s="52"/>
      <c r="C231" s="51"/>
      <c r="D231" s="1">
        <v>0</v>
      </c>
      <c r="E231" s="1"/>
    </row>
    <row r="232" spans="2:5" x14ac:dyDescent="0.3">
      <c r="B232" s="52"/>
      <c r="C232" s="51"/>
      <c r="D232" s="1">
        <v>0</v>
      </c>
      <c r="E232" s="1"/>
    </row>
    <row r="233" spans="2:5" x14ac:dyDescent="0.3">
      <c r="B233" s="60" t="s">
        <v>40</v>
      </c>
      <c r="C233" s="51"/>
      <c r="D233" s="1">
        <v>0</v>
      </c>
      <c r="E233" s="1"/>
    </row>
    <row r="234" spans="2:5" ht="15.6" x14ac:dyDescent="0.3">
      <c r="B234" s="52" t="s">
        <v>408</v>
      </c>
      <c r="C234" s="51"/>
      <c r="D234" s="35">
        <v>791.31</v>
      </c>
      <c r="E234" s="1"/>
    </row>
    <row r="235" spans="2:5" ht="15.6" x14ac:dyDescent="0.3">
      <c r="B235" s="52" t="s">
        <v>339</v>
      </c>
      <c r="C235" s="51"/>
      <c r="D235" s="35">
        <v>418.26</v>
      </c>
      <c r="E235" s="1"/>
    </row>
    <row r="236" spans="2:5" x14ac:dyDescent="0.3">
      <c r="B236" s="61" t="s">
        <v>47</v>
      </c>
      <c r="C236" s="51"/>
      <c r="D236" s="1">
        <v>0</v>
      </c>
      <c r="E236" s="1"/>
    </row>
    <row r="237" spans="2:5" x14ac:dyDescent="0.3">
      <c r="B237" s="52"/>
      <c r="C237" s="51"/>
      <c r="D237" s="1">
        <v>0</v>
      </c>
      <c r="E237" s="1"/>
    </row>
    <row r="238" spans="2:5" x14ac:dyDescent="0.3">
      <c r="B238" s="52"/>
      <c r="C238" s="51"/>
      <c r="D238" s="1"/>
      <c r="E238" s="1"/>
    </row>
    <row r="239" spans="2:5" x14ac:dyDescent="0.3">
      <c r="B239" s="52"/>
      <c r="C239" s="51"/>
      <c r="D239" s="1">
        <v>0</v>
      </c>
      <c r="E239" s="1"/>
    </row>
    <row r="240" spans="2:5" x14ac:dyDescent="0.3">
      <c r="B240" s="56" t="s">
        <v>52</v>
      </c>
      <c r="C240" s="57"/>
      <c r="D240" s="1">
        <v>0</v>
      </c>
      <c r="E240" s="1"/>
    </row>
    <row r="241" spans="2:5" ht="15.6" x14ac:dyDescent="0.3">
      <c r="B241" s="52" t="s">
        <v>53</v>
      </c>
      <c r="C241" s="51"/>
      <c r="D241" s="34">
        <v>799.34</v>
      </c>
      <c r="E241" s="1"/>
    </row>
    <row r="242" spans="2:5" x14ac:dyDescent="0.3">
      <c r="B242" s="52"/>
      <c r="C242" s="51"/>
      <c r="D242" s="1">
        <v>0</v>
      </c>
      <c r="E242" s="1"/>
    </row>
    <row r="243" spans="2:5" x14ac:dyDescent="0.3">
      <c r="B243" s="59" t="s">
        <v>42</v>
      </c>
      <c r="C243" s="51"/>
      <c r="D243" s="3">
        <f>SUM(D230:D242)</f>
        <v>2008.9099999999999</v>
      </c>
      <c r="E243" s="1"/>
    </row>
    <row r="244" spans="2:5" x14ac:dyDescent="0.3">
      <c r="B244" s="14"/>
      <c r="C244" s="14"/>
      <c r="D244" s="14"/>
      <c r="E244" s="14"/>
    </row>
    <row r="245" spans="2:5" x14ac:dyDescent="0.3">
      <c r="B245" t="s">
        <v>11</v>
      </c>
    </row>
    <row r="246" spans="2:5" x14ac:dyDescent="0.3">
      <c r="B246" t="s">
        <v>12</v>
      </c>
      <c r="C246" t="s">
        <v>13</v>
      </c>
    </row>
    <row r="250" spans="2:5" ht="15.6" x14ac:dyDescent="0.3">
      <c r="C250" s="4" t="s">
        <v>6</v>
      </c>
      <c r="D250" s="4"/>
    </row>
    <row r="251" spans="2:5" x14ac:dyDescent="0.3">
      <c r="B251" s="5" t="s">
        <v>7</v>
      </c>
      <c r="C251" s="5"/>
      <c r="D251" s="5"/>
      <c r="E251" s="5"/>
    </row>
    <row r="252" spans="2:5" x14ac:dyDescent="0.3">
      <c r="B252" s="5"/>
      <c r="C252" s="5" t="s">
        <v>30</v>
      </c>
      <c r="D252" s="5"/>
      <c r="E252" s="5"/>
    </row>
    <row r="253" spans="2:5" x14ac:dyDescent="0.3">
      <c r="B253" t="s">
        <v>163</v>
      </c>
      <c r="C253" t="s">
        <v>178</v>
      </c>
      <c r="D253" s="6">
        <v>9</v>
      </c>
    </row>
    <row r="256" spans="2:5" ht="28.8" x14ac:dyDescent="0.3">
      <c r="B256" s="1" t="s">
        <v>0</v>
      </c>
      <c r="C256" s="2" t="s">
        <v>1</v>
      </c>
      <c r="D256" s="2" t="s">
        <v>2</v>
      </c>
      <c r="E256" s="2" t="s">
        <v>3</v>
      </c>
    </row>
    <row r="257" spans="2:5" x14ac:dyDescent="0.3">
      <c r="B257" s="3" t="s">
        <v>4</v>
      </c>
      <c r="C257" s="1">
        <v>18657.060000000001</v>
      </c>
      <c r="D257" s="1">
        <v>13001.16</v>
      </c>
      <c r="E257" s="1">
        <v>1787</v>
      </c>
    </row>
    <row r="258" spans="2:5" x14ac:dyDescent="0.3">
      <c r="B258" s="49" t="s">
        <v>10</v>
      </c>
      <c r="C258" s="50"/>
      <c r="D258" s="51"/>
      <c r="E258" s="1">
        <f>C257-E257</f>
        <v>16870.060000000001</v>
      </c>
    </row>
    <row r="260" spans="2:5" ht="28.8" x14ac:dyDescent="0.3">
      <c r="B260" s="60" t="s">
        <v>37</v>
      </c>
      <c r="C260" s="51"/>
      <c r="D260" s="21" t="s">
        <v>41</v>
      </c>
      <c r="E260" s="3"/>
    </row>
    <row r="261" spans="2:5" x14ac:dyDescent="0.3">
      <c r="B261" s="60" t="s">
        <v>38</v>
      </c>
      <c r="C261" s="51"/>
      <c r="D261" s="1">
        <v>0</v>
      </c>
      <c r="E261" s="1"/>
    </row>
    <row r="262" spans="2:5" x14ac:dyDescent="0.3">
      <c r="B262" s="52"/>
      <c r="C262" s="51"/>
      <c r="D262" s="1">
        <v>0</v>
      </c>
      <c r="E262" s="1"/>
    </row>
    <row r="263" spans="2:5" x14ac:dyDescent="0.3">
      <c r="B263" s="52"/>
      <c r="C263" s="51"/>
      <c r="D263" s="1">
        <v>0</v>
      </c>
      <c r="E263" s="1"/>
    </row>
    <row r="264" spans="2:5" x14ac:dyDescent="0.3">
      <c r="B264" s="60" t="s">
        <v>40</v>
      </c>
      <c r="C264" s="51"/>
      <c r="D264" s="1">
        <v>0</v>
      </c>
      <c r="E264" s="1"/>
    </row>
    <row r="265" spans="2:5" ht="15.6" x14ac:dyDescent="0.3">
      <c r="B265" s="52" t="s">
        <v>195</v>
      </c>
      <c r="C265" s="51"/>
      <c r="D265" s="34">
        <v>607.36</v>
      </c>
      <c r="E265" s="1"/>
    </row>
    <row r="266" spans="2:5" x14ac:dyDescent="0.3">
      <c r="B266" s="52"/>
      <c r="C266" s="51"/>
      <c r="D266" s="1">
        <v>0</v>
      </c>
      <c r="E266" s="1"/>
    </row>
    <row r="267" spans="2:5" x14ac:dyDescent="0.3">
      <c r="B267" s="61" t="s">
        <v>47</v>
      </c>
      <c r="C267" s="51"/>
      <c r="D267" s="1">
        <v>0</v>
      </c>
      <c r="E267" s="1"/>
    </row>
    <row r="268" spans="2:5" ht="15.6" x14ac:dyDescent="0.3">
      <c r="B268" s="52" t="s">
        <v>205</v>
      </c>
      <c r="C268" s="51"/>
      <c r="D268" s="34">
        <v>239.24</v>
      </c>
      <c r="E268" s="1"/>
    </row>
    <row r="269" spans="2:5" x14ac:dyDescent="0.3">
      <c r="B269" s="52"/>
      <c r="C269" s="51"/>
      <c r="D269" s="1"/>
      <c r="E269" s="1"/>
    </row>
    <row r="270" spans="2:5" x14ac:dyDescent="0.3">
      <c r="B270" s="52"/>
      <c r="C270" s="51"/>
      <c r="D270" s="1">
        <v>0</v>
      </c>
      <c r="E270" s="1"/>
    </row>
    <row r="271" spans="2:5" x14ac:dyDescent="0.3">
      <c r="B271" s="56" t="s">
        <v>52</v>
      </c>
      <c r="C271" s="57"/>
      <c r="D271" s="1">
        <v>0</v>
      </c>
      <c r="E271" s="1"/>
    </row>
    <row r="272" spans="2:5" x14ac:dyDescent="0.3">
      <c r="B272" s="52" t="s">
        <v>53</v>
      </c>
      <c r="C272" s="51"/>
      <c r="D272" s="1">
        <f>564.24+376.16</f>
        <v>940.40000000000009</v>
      </c>
      <c r="E272" s="1"/>
    </row>
    <row r="273" spans="2:5" x14ac:dyDescent="0.3">
      <c r="B273" s="52"/>
      <c r="C273" s="51"/>
      <c r="D273" s="1">
        <v>0</v>
      </c>
      <c r="E273" s="1"/>
    </row>
    <row r="274" spans="2:5" x14ac:dyDescent="0.3">
      <c r="B274" s="59" t="s">
        <v>42</v>
      </c>
      <c r="C274" s="51"/>
      <c r="D274" s="3">
        <f>SUM(D261:D273)</f>
        <v>1787</v>
      </c>
      <c r="E274" s="1"/>
    </row>
    <row r="275" spans="2:5" x14ac:dyDescent="0.3">
      <c r="B275" s="14"/>
      <c r="C275" s="14"/>
      <c r="D275" s="14"/>
      <c r="E275" s="14"/>
    </row>
    <row r="276" spans="2:5" x14ac:dyDescent="0.3">
      <c r="B276" t="s">
        <v>11</v>
      </c>
    </row>
    <row r="277" spans="2:5" x14ac:dyDescent="0.3">
      <c r="B277" t="s">
        <v>12</v>
      </c>
      <c r="C277" t="s">
        <v>13</v>
      </c>
    </row>
    <row r="282" spans="2:5" ht="15.6" x14ac:dyDescent="0.3">
      <c r="C282" s="4" t="s">
        <v>6</v>
      </c>
      <c r="D282" s="4"/>
    </row>
    <row r="283" spans="2:5" x14ac:dyDescent="0.3">
      <c r="B283" s="5" t="s">
        <v>7</v>
      </c>
      <c r="C283" s="5"/>
      <c r="D283" s="5"/>
      <c r="E283" s="5"/>
    </row>
    <row r="284" spans="2:5" x14ac:dyDescent="0.3">
      <c r="B284" s="5"/>
      <c r="C284" s="5" t="s">
        <v>30</v>
      </c>
      <c r="D284" s="5"/>
      <c r="E284" s="5"/>
    </row>
    <row r="285" spans="2:5" x14ac:dyDescent="0.3">
      <c r="B285" t="s">
        <v>163</v>
      </c>
      <c r="C285" t="s">
        <v>178</v>
      </c>
      <c r="D285" s="6">
        <v>10</v>
      </c>
    </row>
    <row r="288" spans="2:5" ht="28.8" x14ac:dyDescent="0.3">
      <c r="B288" s="1" t="s">
        <v>0</v>
      </c>
      <c r="C288" s="2" t="s">
        <v>1</v>
      </c>
      <c r="D288" s="2" t="s">
        <v>2</v>
      </c>
      <c r="E288" s="2" t="s">
        <v>3</v>
      </c>
    </row>
    <row r="289" spans="2:5" x14ac:dyDescent="0.3">
      <c r="B289" s="3" t="s">
        <v>4</v>
      </c>
      <c r="C289" s="1">
        <v>18828.66</v>
      </c>
      <c r="D289" s="1">
        <v>15341.7</v>
      </c>
      <c r="E289" s="1">
        <v>29621.15</v>
      </c>
    </row>
    <row r="290" spans="2:5" x14ac:dyDescent="0.3">
      <c r="B290" s="49" t="s">
        <v>10</v>
      </c>
      <c r="C290" s="50"/>
      <c r="D290" s="51"/>
      <c r="E290" s="1">
        <f>C289-E289</f>
        <v>-10792.490000000002</v>
      </c>
    </row>
    <row r="292" spans="2:5" ht="28.8" x14ac:dyDescent="0.3">
      <c r="B292" s="60" t="s">
        <v>37</v>
      </c>
      <c r="C292" s="51"/>
      <c r="D292" s="21" t="s">
        <v>41</v>
      </c>
      <c r="E292" s="3"/>
    </row>
    <row r="293" spans="2:5" x14ac:dyDescent="0.3">
      <c r="B293" s="60" t="s">
        <v>38</v>
      </c>
      <c r="C293" s="51"/>
      <c r="D293" s="1">
        <v>0</v>
      </c>
      <c r="E293" s="1"/>
    </row>
    <row r="294" spans="2:5" x14ac:dyDescent="0.3">
      <c r="B294" s="52"/>
      <c r="C294" s="51"/>
      <c r="D294" s="1">
        <v>0</v>
      </c>
      <c r="E294" s="1"/>
    </row>
    <row r="295" spans="2:5" x14ac:dyDescent="0.3">
      <c r="B295" s="52"/>
      <c r="C295" s="51"/>
      <c r="D295" s="1">
        <v>0</v>
      </c>
      <c r="E295" s="1"/>
    </row>
    <row r="296" spans="2:5" x14ac:dyDescent="0.3">
      <c r="B296" s="60" t="s">
        <v>40</v>
      </c>
      <c r="C296" s="51"/>
      <c r="D296" s="1">
        <v>0</v>
      </c>
      <c r="E296" s="1"/>
    </row>
    <row r="297" spans="2:5" x14ac:dyDescent="0.3">
      <c r="B297" s="52" t="s">
        <v>129</v>
      </c>
      <c r="C297" s="51"/>
      <c r="D297" s="27">
        <v>25317.81</v>
      </c>
      <c r="E297" s="1"/>
    </row>
    <row r="298" spans="2:5" ht="15.6" x14ac:dyDescent="0.3">
      <c r="B298" s="52" t="s">
        <v>409</v>
      </c>
      <c r="C298" s="51"/>
      <c r="D298" s="32">
        <v>3362.94</v>
      </c>
      <c r="E298" s="1"/>
    </row>
    <row r="299" spans="2:5" x14ac:dyDescent="0.3">
      <c r="B299" s="61" t="s">
        <v>47</v>
      </c>
      <c r="C299" s="51"/>
      <c r="D299" s="1">
        <v>0</v>
      </c>
      <c r="E299" s="1"/>
    </row>
    <row r="300" spans="2:5" x14ac:dyDescent="0.3">
      <c r="B300" s="52"/>
      <c r="C300" s="51"/>
      <c r="D300" s="1">
        <v>0</v>
      </c>
      <c r="E300" s="1"/>
    </row>
    <row r="301" spans="2:5" x14ac:dyDescent="0.3">
      <c r="B301" s="52"/>
      <c r="C301" s="51"/>
      <c r="D301" s="1"/>
      <c r="E301" s="1"/>
    </row>
    <row r="302" spans="2:5" x14ac:dyDescent="0.3">
      <c r="B302" s="52"/>
      <c r="C302" s="51"/>
      <c r="D302" s="1">
        <v>0</v>
      </c>
      <c r="E302" s="1"/>
    </row>
    <row r="303" spans="2:5" x14ac:dyDescent="0.3">
      <c r="B303" s="56" t="s">
        <v>52</v>
      </c>
      <c r="C303" s="57"/>
      <c r="D303" s="1">
        <v>0</v>
      </c>
      <c r="E303" s="1"/>
    </row>
    <row r="304" spans="2:5" ht="15.6" x14ac:dyDescent="0.3">
      <c r="B304" s="52" t="s">
        <v>53</v>
      </c>
      <c r="C304" s="51"/>
      <c r="D304" s="34">
        <v>940.4</v>
      </c>
      <c r="E304" s="1"/>
    </row>
    <row r="305" spans="2:5" x14ac:dyDescent="0.3">
      <c r="B305" s="52"/>
      <c r="C305" s="51"/>
      <c r="D305" s="1">
        <v>0</v>
      </c>
      <c r="E305" s="1"/>
    </row>
    <row r="306" spans="2:5" x14ac:dyDescent="0.3">
      <c r="B306" s="59" t="s">
        <v>42</v>
      </c>
      <c r="C306" s="51"/>
      <c r="D306" s="3">
        <f>SUM(D293:D305)</f>
        <v>29621.15</v>
      </c>
      <c r="E306" s="1"/>
    </row>
    <row r="307" spans="2:5" x14ac:dyDescent="0.3">
      <c r="B307" s="14"/>
      <c r="C307" s="14"/>
      <c r="D307" s="14"/>
      <c r="E307" s="14"/>
    </row>
    <row r="308" spans="2:5" x14ac:dyDescent="0.3">
      <c r="B308" t="s">
        <v>11</v>
      </c>
    </row>
    <row r="309" spans="2:5" x14ac:dyDescent="0.3">
      <c r="B309" t="s">
        <v>12</v>
      </c>
      <c r="C309" t="s">
        <v>13</v>
      </c>
    </row>
    <row r="313" spans="2:5" ht="15.6" x14ac:dyDescent="0.3">
      <c r="C313" s="4" t="s">
        <v>6</v>
      </c>
      <c r="D313" s="4"/>
    </row>
    <row r="314" spans="2:5" x14ac:dyDescent="0.3">
      <c r="B314" s="5" t="s">
        <v>7</v>
      </c>
      <c r="C314" s="5"/>
      <c r="D314" s="5"/>
      <c r="E314" s="5"/>
    </row>
    <row r="315" spans="2:5" x14ac:dyDescent="0.3">
      <c r="B315" s="5"/>
      <c r="C315" s="5" t="s">
        <v>30</v>
      </c>
      <c r="D315" s="5"/>
      <c r="E315" s="5"/>
    </row>
    <row r="316" spans="2:5" x14ac:dyDescent="0.3">
      <c r="B316" t="s">
        <v>163</v>
      </c>
      <c r="C316" t="s">
        <v>178</v>
      </c>
      <c r="D316" s="6">
        <v>11</v>
      </c>
    </row>
    <row r="319" spans="2:5" ht="28.8" x14ac:dyDescent="0.3">
      <c r="B319" s="1" t="s">
        <v>0</v>
      </c>
      <c r="C319" s="2" t="s">
        <v>1</v>
      </c>
      <c r="D319" s="2" t="s">
        <v>2</v>
      </c>
      <c r="E319" s="2" t="s">
        <v>3</v>
      </c>
    </row>
    <row r="320" spans="2:5" x14ac:dyDescent="0.3">
      <c r="B320" s="3" t="s">
        <v>4</v>
      </c>
      <c r="C320" s="1">
        <v>18140.759999999998</v>
      </c>
      <c r="D320" s="1">
        <v>16144.65</v>
      </c>
      <c r="E320" s="1">
        <v>120.3</v>
      </c>
    </row>
    <row r="321" spans="2:5" x14ac:dyDescent="0.3">
      <c r="B321" s="49" t="s">
        <v>10</v>
      </c>
      <c r="C321" s="50"/>
      <c r="D321" s="51"/>
      <c r="E321" s="1">
        <f>C320-E320</f>
        <v>18020.46</v>
      </c>
    </row>
    <row r="323" spans="2:5" ht="28.8" x14ac:dyDescent="0.3">
      <c r="B323" s="60" t="s">
        <v>37</v>
      </c>
      <c r="C323" s="51"/>
      <c r="D323" s="21" t="s">
        <v>41</v>
      </c>
      <c r="E323" s="3"/>
    </row>
    <row r="324" spans="2:5" x14ac:dyDescent="0.3">
      <c r="B324" s="60" t="s">
        <v>38</v>
      </c>
      <c r="C324" s="51"/>
      <c r="D324" s="1">
        <v>0</v>
      </c>
      <c r="E324" s="1"/>
    </row>
    <row r="325" spans="2:5" x14ac:dyDescent="0.3">
      <c r="B325" s="52"/>
      <c r="C325" s="51"/>
      <c r="D325" s="1">
        <v>0</v>
      </c>
      <c r="E325" s="1"/>
    </row>
    <row r="326" spans="2:5" x14ac:dyDescent="0.3">
      <c r="B326" s="52"/>
      <c r="C326" s="51"/>
      <c r="D326" s="1">
        <v>0</v>
      </c>
      <c r="E326" s="1"/>
    </row>
    <row r="327" spans="2:5" x14ac:dyDescent="0.3">
      <c r="B327" s="60" t="s">
        <v>40</v>
      </c>
      <c r="C327" s="51"/>
      <c r="D327" s="1">
        <v>0</v>
      </c>
      <c r="E327" s="1"/>
    </row>
    <row r="328" spans="2:5" x14ac:dyDescent="0.3">
      <c r="B328" s="52"/>
      <c r="C328" s="51"/>
      <c r="D328" s="1">
        <v>0</v>
      </c>
      <c r="E328" s="1"/>
    </row>
    <row r="329" spans="2:5" x14ac:dyDescent="0.3">
      <c r="B329" s="52"/>
      <c r="C329" s="51"/>
      <c r="D329" s="1">
        <v>0</v>
      </c>
      <c r="E329" s="1"/>
    </row>
    <row r="330" spans="2:5" x14ac:dyDescent="0.3">
      <c r="B330" s="61" t="s">
        <v>47</v>
      </c>
      <c r="C330" s="51"/>
      <c r="D330" s="1">
        <v>0</v>
      </c>
      <c r="E330" s="1"/>
    </row>
    <row r="331" spans="2:5" ht="15.6" x14ac:dyDescent="0.3">
      <c r="B331" s="52" t="s">
        <v>204</v>
      </c>
      <c r="C331" s="51"/>
      <c r="D331" s="34">
        <v>120.3</v>
      </c>
      <c r="E331" s="1"/>
    </row>
    <row r="332" spans="2:5" x14ac:dyDescent="0.3">
      <c r="B332" s="52"/>
      <c r="C332" s="51"/>
      <c r="D332" s="1"/>
      <c r="E332" s="1"/>
    </row>
    <row r="333" spans="2:5" x14ac:dyDescent="0.3">
      <c r="B333" s="52"/>
      <c r="C333" s="51"/>
      <c r="D333" s="1">
        <v>0</v>
      </c>
      <c r="E333" s="1"/>
    </row>
    <row r="334" spans="2:5" x14ac:dyDescent="0.3">
      <c r="B334" s="56" t="s">
        <v>52</v>
      </c>
      <c r="C334" s="57"/>
      <c r="D334" s="1">
        <v>0</v>
      </c>
      <c r="E334" s="1"/>
    </row>
    <row r="335" spans="2:5" x14ac:dyDescent="0.3">
      <c r="B335" s="52" t="s">
        <v>53</v>
      </c>
      <c r="C335" s="51"/>
      <c r="D335" s="1"/>
      <c r="E335" s="1"/>
    </row>
    <row r="336" spans="2:5" x14ac:dyDescent="0.3">
      <c r="B336" s="52"/>
      <c r="C336" s="51"/>
      <c r="D336" s="1">
        <v>0</v>
      </c>
      <c r="E336" s="1"/>
    </row>
    <row r="337" spans="2:5" x14ac:dyDescent="0.3">
      <c r="B337" s="59" t="s">
        <v>42</v>
      </c>
      <c r="C337" s="51"/>
      <c r="D337" s="3">
        <f>SUM(D324:D336)</f>
        <v>120.3</v>
      </c>
      <c r="E337" s="1"/>
    </row>
    <row r="338" spans="2:5" x14ac:dyDescent="0.3">
      <c r="B338" s="14"/>
      <c r="C338" s="14"/>
      <c r="D338" s="14"/>
      <c r="E338" s="14"/>
    </row>
    <row r="339" spans="2:5" x14ac:dyDescent="0.3">
      <c r="B339" t="s">
        <v>11</v>
      </c>
    </row>
    <row r="340" spans="2:5" x14ac:dyDescent="0.3">
      <c r="B340" t="s">
        <v>12</v>
      </c>
      <c r="C340" t="s">
        <v>13</v>
      </c>
    </row>
    <row r="344" spans="2:5" ht="15.6" x14ac:dyDescent="0.3">
      <c r="C344" s="4" t="s">
        <v>6</v>
      </c>
      <c r="D344" s="4"/>
    </row>
    <row r="345" spans="2:5" x14ac:dyDescent="0.3">
      <c r="B345" s="5" t="s">
        <v>7</v>
      </c>
      <c r="C345" s="5"/>
      <c r="D345" s="5"/>
      <c r="E345" s="5"/>
    </row>
    <row r="346" spans="2:5" x14ac:dyDescent="0.3">
      <c r="B346" s="5"/>
      <c r="C346" s="5" t="s">
        <v>30</v>
      </c>
      <c r="D346" s="5"/>
      <c r="E346" s="5"/>
    </row>
    <row r="347" spans="2:5" x14ac:dyDescent="0.3">
      <c r="B347" t="s">
        <v>163</v>
      </c>
      <c r="C347" t="s">
        <v>178</v>
      </c>
      <c r="D347" s="6">
        <v>12</v>
      </c>
    </row>
    <row r="350" spans="2:5" ht="28.8" x14ac:dyDescent="0.3">
      <c r="B350" s="1" t="s">
        <v>0</v>
      </c>
      <c r="C350" s="2" t="s">
        <v>1</v>
      </c>
      <c r="D350" s="2" t="s">
        <v>2</v>
      </c>
      <c r="E350" s="2" t="s">
        <v>3</v>
      </c>
    </row>
    <row r="351" spans="2:5" x14ac:dyDescent="0.3">
      <c r="B351" s="3" t="s">
        <v>4</v>
      </c>
      <c r="C351" s="1">
        <f>15818.7+1030.61</f>
        <v>16849.310000000001</v>
      </c>
      <c r="D351" s="1">
        <f>13480.03+1030.61</f>
        <v>14510.640000000001</v>
      </c>
      <c r="E351" s="1">
        <v>5743.32</v>
      </c>
    </row>
    <row r="352" spans="2:5" x14ac:dyDescent="0.3">
      <c r="B352" s="49" t="s">
        <v>10</v>
      </c>
      <c r="C352" s="50"/>
      <c r="D352" s="51"/>
      <c r="E352" s="1">
        <f>C351-E351</f>
        <v>11105.990000000002</v>
      </c>
    </row>
    <row r="354" spans="2:5" ht="28.8" x14ac:dyDescent="0.3">
      <c r="B354" s="60" t="s">
        <v>37</v>
      </c>
      <c r="C354" s="51"/>
      <c r="D354" s="21" t="s">
        <v>41</v>
      </c>
      <c r="E354" s="3"/>
    </row>
    <row r="355" spans="2:5" x14ac:dyDescent="0.3">
      <c r="B355" s="60" t="s">
        <v>38</v>
      </c>
      <c r="C355" s="51"/>
      <c r="D355" s="1">
        <v>0</v>
      </c>
      <c r="E355" s="1"/>
    </row>
    <row r="356" spans="2:5" ht="15.6" x14ac:dyDescent="0.3">
      <c r="B356" s="52" t="s">
        <v>211</v>
      </c>
      <c r="C356" s="51"/>
      <c r="D356" s="34">
        <v>390.78</v>
      </c>
      <c r="E356" s="1"/>
    </row>
    <row r="357" spans="2:5" x14ac:dyDescent="0.3">
      <c r="B357" s="52"/>
      <c r="C357" s="51"/>
      <c r="D357" s="1">
        <v>0</v>
      </c>
      <c r="E357" s="1"/>
    </row>
    <row r="358" spans="2:5" x14ac:dyDescent="0.3">
      <c r="B358" s="60" t="s">
        <v>40</v>
      </c>
      <c r="C358" s="51"/>
      <c r="D358" s="1">
        <v>0</v>
      </c>
      <c r="E358" s="1"/>
    </row>
    <row r="359" spans="2:5" ht="15.6" x14ac:dyDescent="0.3">
      <c r="B359" s="52" t="s">
        <v>113</v>
      </c>
      <c r="C359" s="51"/>
      <c r="D359" s="35">
        <v>4412.1400000000003</v>
      </c>
      <c r="E359" s="1"/>
    </row>
    <row r="360" spans="2:5" x14ac:dyDescent="0.3">
      <c r="B360" s="52"/>
      <c r="C360" s="51"/>
      <c r="D360" s="1">
        <v>0</v>
      </c>
      <c r="E360" s="1"/>
    </row>
    <row r="361" spans="2:5" x14ac:dyDescent="0.3">
      <c r="B361" s="61" t="s">
        <v>47</v>
      </c>
      <c r="C361" s="51"/>
      <c r="D361" s="1">
        <v>0</v>
      </c>
      <c r="E361" s="1"/>
    </row>
    <row r="362" spans="2:5" x14ac:dyDescent="0.3">
      <c r="B362" s="52"/>
      <c r="C362" s="51"/>
      <c r="D362" s="1">
        <v>0</v>
      </c>
      <c r="E362" s="1"/>
    </row>
    <row r="363" spans="2:5" x14ac:dyDescent="0.3">
      <c r="B363" s="52"/>
      <c r="C363" s="51"/>
      <c r="D363" s="1"/>
      <c r="E363" s="1"/>
    </row>
    <row r="364" spans="2:5" x14ac:dyDescent="0.3">
      <c r="B364" s="52"/>
      <c r="C364" s="51"/>
      <c r="D364" s="1">
        <v>0</v>
      </c>
      <c r="E364" s="1"/>
    </row>
    <row r="365" spans="2:5" x14ac:dyDescent="0.3">
      <c r="B365" s="56" t="s">
        <v>52</v>
      </c>
      <c r="C365" s="57"/>
      <c r="D365" s="1">
        <v>0</v>
      </c>
      <c r="E365" s="1"/>
    </row>
    <row r="366" spans="2:5" ht="15.6" x14ac:dyDescent="0.3">
      <c r="B366" s="52" t="s">
        <v>53</v>
      </c>
      <c r="C366" s="51"/>
      <c r="D366" s="34">
        <v>940.4</v>
      </c>
      <c r="E366" s="1"/>
    </row>
    <row r="367" spans="2:5" x14ac:dyDescent="0.3">
      <c r="B367" s="52"/>
      <c r="C367" s="51"/>
      <c r="D367" s="1">
        <v>0</v>
      </c>
      <c r="E367" s="1"/>
    </row>
    <row r="368" spans="2:5" x14ac:dyDescent="0.3">
      <c r="B368" s="59" t="s">
        <v>42</v>
      </c>
      <c r="C368" s="51"/>
      <c r="D368" s="3">
        <f>SUM(D355:D367)</f>
        <v>5743.32</v>
      </c>
      <c r="E368" s="1"/>
    </row>
    <row r="369" spans="2:5" x14ac:dyDescent="0.3">
      <c r="B369" s="14"/>
      <c r="C369" s="14"/>
      <c r="D369" s="14"/>
      <c r="E369" s="14"/>
    </row>
    <row r="370" spans="2:5" x14ac:dyDescent="0.3">
      <c r="B370" t="s">
        <v>11</v>
      </c>
    </row>
    <row r="371" spans="2:5" x14ac:dyDescent="0.3">
      <c r="B371" t="s">
        <v>12</v>
      </c>
      <c r="C371" t="s">
        <v>13</v>
      </c>
    </row>
    <row r="375" spans="2:5" ht="15.6" x14ac:dyDescent="0.3">
      <c r="C375" s="4" t="s">
        <v>6</v>
      </c>
      <c r="D375" s="4"/>
    </row>
    <row r="376" spans="2:5" x14ac:dyDescent="0.3">
      <c r="B376" s="5" t="s">
        <v>7</v>
      </c>
      <c r="C376" s="5"/>
      <c r="D376" s="5"/>
      <c r="E376" s="5"/>
    </row>
    <row r="377" spans="2:5" x14ac:dyDescent="0.3">
      <c r="B377" s="5"/>
      <c r="C377" s="5" t="s">
        <v>30</v>
      </c>
      <c r="D377" s="5"/>
      <c r="E377" s="5"/>
    </row>
    <row r="378" spans="2:5" x14ac:dyDescent="0.3">
      <c r="B378" t="s">
        <v>163</v>
      </c>
      <c r="C378" t="s">
        <v>178</v>
      </c>
      <c r="D378" s="6">
        <v>13</v>
      </c>
    </row>
    <row r="381" spans="2:5" ht="28.8" x14ac:dyDescent="0.3">
      <c r="B381" s="1" t="s">
        <v>0</v>
      </c>
      <c r="C381" s="2" t="s">
        <v>1</v>
      </c>
      <c r="D381" s="2" t="s">
        <v>2</v>
      </c>
      <c r="E381" s="2" t="s">
        <v>3</v>
      </c>
    </row>
    <row r="382" spans="2:5" x14ac:dyDescent="0.3">
      <c r="B382" s="3" t="s">
        <v>4</v>
      </c>
      <c r="C382" s="1">
        <v>11059.08</v>
      </c>
      <c r="D382" s="1">
        <v>10278.94</v>
      </c>
      <c r="E382" s="1">
        <v>755.67</v>
      </c>
    </row>
    <row r="383" spans="2:5" x14ac:dyDescent="0.3">
      <c r="B383" s="49" t="s">
        <v>10</v>
      </c>
      <c r="C383" s="50"/>
      <c r="D383" s="51"/>
      <c r="E383" s="1">
        <f>C382-E382</f>
        <v>10303.41</v>
      </c>
    </row>
    <row r="385" spans="2:5" ht="28.8" x14ac:dyDescent="0.3">
      <c r="B385" s="60" t="s">
        <v>37</v>
      </c>
      <c r="C385" s="51"/>
      <c r="D385" s="21" t="s">
        <v>41</v>
      </c>
      <c r="E385" s="3"/>
    </row>
    <row r="386" spans="2:5" x14ac:dyDescent="0.3">
      <c r="B386" s="60" t="s">
        <v>38</v>
      </c>
      <c r="C386" s="51"/>
      <c r="D386" s="1">
        <v>0</v>
      </c>
      <c r="E386" s="1"/>
    </row>
    <row r="387" spans="2:5" x14ac:dyDescent="0.3">
      <c r="B387" s="52"/>
      <c r="C387" s="51"/>
      <c r="D387" s="1">
        <v>0</v>
      </c>
      <c r="E387" s="1"/>
    </row>
    <row r="388" spans="2:5" x14ac:dyDescent="0.3">
      <c r="B388" s="52"/>
      <c r="C388" s="51"/>
      <c r="D388" s="1">
        <v>0</v>
      </c>
      <c r="E388" s="1"/>
    </row>
    <row r="389" spans="2:5" x14ac:dyDescent="0.3">
      <c r="B389" s="60" t="s">
        <v>40</v>
      </c>
      <c r="C389" s="51"/>
      <c r="D389" s="1">
        <v>0</v>
      </c>
      <c r="E389" s="1"/>
    </row>
    <row r="390" spans="2:5" x14ac:dyDescent="0.3">
      <c r="B390" s="52"/>
      <c r="C390" s="51"/>
      <c r="D390" s="1">
        <v>0</v>
      </c>
      <c r="E390" s="1"/>
    </row>
    <row r="391" spans="2:5" x14ac:dyDescent="0.3">
      <c r="B391" s="52"/>
      <c r="C391" s="51"/>
      <c r="D391" s="1">
        <v>0</v>
      </c>
      <c r="E391" s="1"/>
    </row>
    <row r="392" spans="2:5" x14ac:dyDescent="0.3">
      <c r="B392" s="61" t="s">
        <v>47</v>
      </c>
      <c r="C392" s="51"/>
      <c r="D392" s="1">
        <v>0</v>
      </c>
      <c r="E392" s="1"/>
    </row>
    <row r="393" spans="2:5" ht="15.6" x14ac:dyDescent="0.3">
      <c r="B393" s="52" t="s">
        <v>204</v>
      </c>
      <c r="C393" s="51"/>
      <c r="D393" s="34">
        <v>191.43</v>
      </c>
      <c r="E393" s="1"/>
    </row>
    <row r="394" spans="2:5" x14ac:dyDescent="0.3">
      <c r="B394" s="52"/>
      <c r="C394" s="51"/>
      <c r="D394" s="1"/>
      <c r="E394" s="1"/>
    </row>
    <row r="395" spans="2:5" x14ac:dyDescent="0.3">
      <c r="B395" s="52"/>
      <c r="C395" s="51"/>
      <c r="D395" s="1">
        <v>0</v>
      </c>
      <c r="E395" s="1"/>
    </row>
    <row r="396" spans="2:5" x14ac:dyDescent="0.3">
      <c r="B396" s="56" t="s">
        <v>52</v>
      </c>
      <c r="C396" s="57"/>
      <c r="D396" s="1">
        <v>0</v>
      </c>
      <c r="E396" s="1"/>
    </row>
    <row r="397" spans="2:5" ht="15.6" x14ac:dyDescent="0.3">
      <c r="B397" s="52" t="s">
        <v>53</v>
      </c>
      <c r="C397" s="51"/>
      <c r="D397" s="34">
        <v>564.24</v>
      </c>
      <c r="E397" s="1"/>
    </row>
    <row r="398" spans="2:5" x14ac:dyDescent="0.3">
      <c r="B398" s="52"/>
      <c r="C398" s="51"/>
      <c r="D398" s="1">
        <v>0</v>
      </c>
      <c r="E398" s="1"/>
    </row>
    <row r="399" spans="2:5" x14ac:dyDescent="0.3">
      <c r="B399" s="59" t="s">
        <v>42</v>
      </c>
      <c r="C399" s="51"/>
      <c r="D399" s="3">
        <f>SUM(D386:D398)</f>
        <v>755.67000000000007</v>
      </c>
      <c r="E399" s="1"/>
    </row>
    <row r="400" spans="2:5" x14ac:dyDescent="0.3">
      <c r="B400" s="14"/>
      <c r="C400" s="14"/>
      <c r="D400" s="14"/>
      <c r="E400" s="14"/>
    </row>
    <row r="401" spans="2:5" x14ac:dyDescent="0.3">
      <c r="B401" t="s">
        <v>11</v>
      </c>
    </row>
    <row r="402" spans="2:5" x14ac:dyDescent="0.3">
      <c r="B402" t="s">
        <v>12</v>
      </c>
      <c r="C402" t="s">
        <v>13</v>
      </c>
    </row>
    <row r="406" spans="2:5" ht="15.6" x14ac:dyDescent="0.3">
      <c r="C406" s="4" t="s">
        <v>6</v>
      </c>
      <c r="D406" s="4"/>
    </row>
    <row r="407" spans="2:5" x14ac:dyDescent="0.3">
      <c r="B407" s="5" t="s">
        <v>7</v>
      </c>
      <c r="C407" s="5"/>
      <c r="D407" s="5"/>
      <c r="E407" s="5"/>
    </row>
    <row r="408" spans="2:5" x14ac:dyDescent="0.3">
      <c r="B408" s="5"/>
      <c r="C408" s="5" t="s">
        <v>30</v>
      </c>
      <c r="D408" s="5"/>
      <c r="E408" s="5"/>
    </row>
    <row r="409" spans="2:5" x14ac:dyDescent="0.3">
      <c r="B409" t="s">
        <v>163</v>
      </c>
      <c r="C409" t="s">
        <v>178</v>
      </c>
      <c r="D409" s="6">
        <v>14</v>
      </c>
    </row>
    <row r="412" spans="2:5" ht="28.8" x14ac:dyDescent="0.3">
      <c r="B412" s="1" t="s">
        <v>0</v>
      </c>
      <c r="C412" s="2" t="s">
        <v>1</v>
      </c>
      <c r="D412" s="2" t="s">
        <v>2</v>
      </c>
      <c r="E412" s="2" t="s">
        <v>3</v>
      </c>
    </row>
    <row r="413" spans="2:5" x14ac:dyDescent="0.3">
      <c r="B413" s="3" t="s">
        <v>4</v>
      </c>
      <c r="C413" s="1">
        <v>13706.1</v>
      </c>
      <c r="D413" s="1">
        <v>12681.31</v>
      </c>
      <c r="E413" s="1">
        <v>2675.42</v>
      </c>
    </row>
    <row r="414" spans="2:5" x14ac:dyDescent="0.3">
      <c r="B414" s="49" t="s">
        <v>10</v>
      </c>
      <c r="C414" s="50"/>
      <c r="D414" s="51"/>
      <c r="E414" s="1">
        <f>C413-E413</f>
        <v>11030.68</v>
      </c>
    </row>
    <row r="416" spans="2:5" ht="28.8" x14ac:dyDescent="0.3">
      <c r="B416" s="60" t="s">
        <v>37</v>
      </c>
      <c r="C416" s="51"/>
      <c r="D416" s="21" t="s">
        <v>41</v>
      </c>
      <c r="E416" s="3"/>
    </row>
    <row r="417" spans="2:5" x14ac:dyDescent="0.3">
      <c r="B417" s="60" t="s">
        <v>38</v>
      </c>
      <c r="C417" s="51"/>
      <c r="D417" s="1">
        <v>0</v>
      </c>
      <c r="E417" s="1"/>
    </row>
    <row r="418" spans="2:5" x14ac:dyDescent="0.3">
      <c r="B418" s="52"/>
      <c r="C418" s="51"/>
      <c r="D418" s="1">
        <v>0</v>
      </c>
      <c r="E418" s="1"/>
    </row>
    <row r="419" spans="2:5" x14ac:dyDescent="0.3">
      <c r="B419" s="52"/>
      <c r="C419" s="51"/>
      <c r="D419" s="1">
        <v>0</v>
      </c>
      <c r="E419" s="1"/>
    </row>
    <row r="420" spans="2:5" x14ac:dyDescent="0.3">
      <c r="B420" s="60" t="s">
        <v>40</v>
      </c>
      <c r="C420" s="51"/>
      <c r="D420" s="1">
        <v>0</v>
      </c>
      <c r="E420" s="1"/>
    </row>
    <row r="421" spans="2:5" x14ac:dyDescent="0.3">
      <c r="B421" s="52"/>
      <c r="C421" s="51"/>
      <c r="D421" s="1">
        <v>0</v>
      </c>
      <c r="E421" s="1"/>
    </row>
    <row r="422" spans="2:5" x14ac:dyDescent="0.3">
      <c r="B422" s="52"/>
      <c r="C422" s="51"/>
      <c r="D422" s="1">
        <v>0</v>
      </c>
      <c r="E422" s="1"/>
    </row>
    <row r="423" spans="2:5" x14ac:dyDescent="0.3">
      <c r="B423" s="61" t="s">
        <v>47</v>
      </c>
      <c r="C423" s="51"/>
      <c r="D423" s="1">
        <v>0</v>
      </c>
      <c r="E423" s="1"/>
    </row>
    <row r="424" spans="2:5" ht="15.6" x14ac:dyDescent="0.3">
      <c r="B424" s="52" t="s">
        <v>304</v>
      </c>
      <c r="C424" s="51"/>
      <c r="D424" s="34">
        <v>1452.9</v>
      </c>
      <c r="E424" s="1"/>
    </row>
    <row r="425" spans="2:5" x14ac:dyDescent="0.3">
      <c r="B425" s="52"/>
      <c r="C425" s="51"/>
      <c r="D425" s="1"/>
      <c r="E425" s="1"/>
    </row>
    <row r="426" spans="2:5" x14ac:dyDescent="0.3">
      <c r="B426" s="52"/>
      <c r="C426" s="51"/>
      <c r="D426" s="1">
        <v>0</v>
      </c>
      <c r="E426" s="1"/>
    </row>
    <row r="427" spans="2:5" x14ac:dyDescent="0.3">
      <c r="B427" s="56" t="s">
        <v>52</v>
      </c>
      <c r="C427" s="57"/>
      <c r="D427" s="1">
        <v>0</v>
      </c>
      <c r="E427" s="1"/>
    </row>
    <row r="428" spans="2:5" x14ac:dyDescent="0.3">
      <c r="B428" s="52" t="s">
        <v>53</v>
      </c>
      <c r="C428" s="51"/>
      <c r="D428" s="1">
        <f>940.4+282.12</f>
        <v>1222.52</v>
      </c>
      <c r="E428" s="1"/>
    </row>
    <row r="429" spans="2:5" x14ac:dyDescent="0.3">
      <c r="B429" s="52"/>
      <c r="C429" s="51"/>
      <c r="D429" s="1">
        <v>0</v>
      </c>
      <c r="E429" s="1"/>
    </row>
    <row r="430" spans="2:5" x14ac:dyDescent="0.3">
      <c r="B430" s="59" t="s">
        <v>42</v>
      </c>
      <c r="C430" s="51"/>
      <c r="D430" s="3">
        <f>SUM(D417:D429)</f>
        <v>2675.42</v>
      </c>
      <c r="E430" s="1"/>
    </row>
    <row r="431" spans="2:5" x14ac:dyDescent="0.3">
      <c r="B431" s="14"/>
      <c r="C431" s="14"/>
      <c r="D431" s="14"/>
      <c r="E431" s="14"/>
    </row>
    <row r="432" spans="2:5" x14ac:dyDescent="0.3">
      <c r="B432" t="s">
        <v>11</v>
      </c>
    </row>
    <row r="433" spans="2:5" x14ac:dyDescent="0.3">
      <c r="B433" t="s">
        <v>12</v>
      </c>
      <c r="C433" t="s">
        <v>13</v>
      </c>
    </row>
    <row r="437" spans="2:5" ht="15.6" x14ac:dyDescent="0.3">
      <c r="C437" s="4" t="s">
        <v>6</v>
      </c>
      <c r="D437" s="4"/>
    </row>
    <row r="438" spans="2:5" x14ac:dyDescent="0.3">
      <c r="B438" s="5" t="s">
        <v>7</v>
      </c>
      <c r="C438" s="5"/>
      <c r="D438" s="5"/>
      <c r="E438" s="5"/>
    </row>
    <row r="439" spans="2:5" x14ac:dyDescent="0.3">
      <c r="B439" s="5"/>
      <c r="C439" s="5" t="s">
        <v>30</v>
      </c>
      <c r="D439" s="5"/>
      <c r="E439" s="5"/>
    </row>
    <row r="440" spans="2:5" x14ac:dyDescent="0.3">
      <c r="B440" t="s">
        <v>163</v>
      </c>
      <c r="C440" t="s">
        <v>178</v>
      </c>
      <c r="D440" s="6">
        <v>15</v>
      </c>
    </row>
    <row r="443" spans="2:5" ht="28.8" x14ac:dyDescent="0.3">
      <c r="B443" s="1" t="s">
        <v>0</v>
      </c>
      <c r="C443" s="2" t="s">
        <v>1</v>
      </c>
      <c r="D443" s="2" t="s">
        <v>2</v>
      </c>
      <c r="E443" s="2" t="s">
        <v>3</v>
      </c>
    </row>
    <row r="444" spans="2:5" x14ac:dyDescent="0.3">
      <c r="B444" s="3" t="s">
        <v>4</v>
      </c>
      <c r="C444" s="1">
        <v>13593.24</v>
      </c>
      <c r="D444" s="1">
        <v>12260.42</v>
      </c>
      <c r="E444" s="1">
        <v>25216.37</v>
      </c>
    </row>
    <row r="445" spans="2:5" x14ac:dyDescent="0.3">
      <c r="B445" s="49" t="s">
        <v>10</v>
      </c>
      <c r="C445" s="50"/>
      <c r="D445" s="51"/>
      <c r="E445" s="1">
        <f>C444-E444</f>
        <v>-11623.13</v>
      </c>
    </row>
    <row r="447" spans="2:5" ht="28.8" x14ac:dyDescent="0.3">
      <c r="B447" s="60" t="s">
        <v>37</v>
      </c>
      <c r="C447" s="51"/>
      <c r="D447" s="21" t="s">
        <v>41</v>
      </c>
      <c r="E447" s="3"/>
    </row>
    <row r="448" spans="2:5" x14ac:dyDescent="0.3">
      <c r="B448" s="60" t="s">
        <v>38</v>
      </c>
      <c r="C448" s="51"/>
      <c r="D448" s="1">
        <v>0</v>
      </c>
      <c r="E448" s="1"/>
    </row>
    <row r="449" spans="2:5" x14ac:dyDescent="0.3">
      <c r="B449" s="52"/>
      <c r="C449" s="51"/>
      <c r="D449" s="1">
        <v>0</v>
      </c>
      <c r="E449" s="1"/>
    </row>
    <row r="450" spans="2:5" x14ac:dyDescent="0.3">
      <c r="B450" s="52"/>
      <c r="C450" s="51"/>
      <c r="D450" s="1">
        <v>0</v>
      </c>
      <c r="E450" s="1"/>
    </row>
    <row r="451" spans="2:5" x14ac:dyDescent="0.3">
      <c r="B451" s="60" t="s">
        <v>40</v>
      </c>
      <c r="C451" s="51"/>
      <c r="D451" s="1">
        <v>0</v>
      </c>
      <c r="E451" s="1"/>
    </row>
    <row r="452" spans="2:5" x14ac:dyDescent="0.3">
      <c r="B452" s="52" t="s">
        <v>113</v>
      </c>
      <c r="C452" s="51"/>
      <c r="D452" s="27">
        <v>23981.46</v>
      </c>
      <c r="E452" s="1"/>
    </row>
    <row r="453" spans="2:5" x14ac:dyDescent="0.3">
      <c r="B453" s="52"/>
      <c r="C453" s="51"/>
      <c r="D453" s="1">
        <v>0</v>
      </c>
      <c r="E453" s="1"/>
    </row>
    <row r="454" spans="2:5" x14ac:dyDescent="0.3">
      <c r="B454" s="61" t="s">
        <v>47</v>
      </c>
      <c r="C454" s="51"/>
      <c r="D454" s="1">
        <v>0</v>
      </c>
      <c r="E454" s="1"/>
    </row>
    <row r="455" spans="2:5" x14ac:dyDescent="0.3">
      <c r="B455" s="52" t="s">
        <v>241</v>
      </c>
      <c r="C455" s="51"/>
      <c r="D455" s="1">
        <f>97.66+290.89</f>
        <v>388.54999999999995</v>
      </c>
      <c r="E455" s="1"/>
    </row>
    <row r="456" spans="2:5" x14ac:dyDescent="0.3">
      <c r="B456" s="52"/>
      <c r="C456" s="51"/>
      <c r="D456" s="1"/>
      <c r="E456" s="1"/>
    </row>
    <row r="457" spans="2:5" x14ac:dyDescent="0.3">
      <c r="B457" s="52"/>
      <c r="C457" s="51"/>
      <c r="D457" s="1">
        <v>0</v>
      </c>
      <c r="E457" s="1"/>
    </row>
    <row r="458" spans="2:5" x14ac:dyDescent="0.3">
      <c r="B458" s="56" t="s">
        <v>52</v>
      </c>
      <c r="C458" s="57"/>
      <c r="D458" s="1">
        <v>0</v>
      </c>
      <c r="E458" s="1"/>
    </row>
    <row r="459" spans="2:5" ht="15.6" x14ac:dyDescent="0.3">
      <c r="B459" s="52" t="s">
        <v>53</v>
      </c>
      <c r="C459" s="51"/>
      <c r="D459" s="34">
        <v>846.36</v>
      </c>
      <c r="E459" s="1"/>
    </row>
    <row r="460" spans="2:5" x14ac:dyDescent="0.3">
      <c r="B460" s="52"/>
      <c r="C460" s="51"/>
      <c r="D460" s="1">
        <v>0</v>
      </c>
      <c r="E460" s="1"/>
    </row>
    <row r="461" spans="2:5" x14ac:dyDescent="0.3">
      <c r="B461" s="59" t="s">
        <v>42</v>
      </c>
      <c r="C461" s="51"/>
      <c r="D461" s="3">
        <f>SUM(D448:D460)</f>
        <v>25216.37</v>
      </c>
      <c r="E461" s="1"/>
    </row>
    <row r="462" spans="2:5" x14ac:dyDescent="0.3">
      <c r="B462" s="14"/>
      <c r="C462" s="14"/>
      <c r="D462" s="14"/>
      <c r="E462" s="14"/>
    </row>
    <row r="463" spans="2:5" x14ac:dyDescent="0.3">
      <c r="B463" t="s">
        <v>11</v>
      </c>
    </row>
    <row r="464" spans="2:5" x14ac:dyDescent="0.3">
      <c r="B464" t="s">
        <v>12</v>
      </c>
      <c r="C464" t="s">
        <v>13</v>
      </c>
    </row>
    <row r="468" spans="2:5" ht="15.6" x14ac:dyDescent="0.3">
      <c r="C468" s="4" t="s">
        <v>6</v>
      </c>
      <c r="D468" s="4"/>
    </row>
    <row r="469" spans="2:5" x14ac:dyDescent="0.3">
      <c r="B469" s="5" t="s">
        <v>7</v>
      </c>
      <c r="C469" s="5"/>
      <c r="D469" s="5"/>
      <c r="E469" s="5"/>
    </row>
    <row r="470" spans="2:5" x14ac:dyDescent="0.3">
      <c r="B470" s="5"/>
      <c r="C470" s="5" t="s">
        <v>30</v>
      </c>
      <c r="D470" s="5"/>
      <c r="E470" s="5"/>
    </row>
    <row r="471" spans="2:5" x14ac:dyDescent="0.3">
      <c r="B471" t="s">
        <v>163</v>
      </c>
      <c r="C471" t="s">
        <v>178</v>
      </c>
      <c r="D471" s="6">
        <v>16</v>
      </c>
    </row>
    <row r="474" spans="2:5" ht="28.8" x14ac:dyDescent="0.3">
      <c r="B474" s="1" t="s">
        <v>0</v>
      </c>
      <c r="C474" s="2" t="s">
        <v>1</v>
      </c>
      <c r="D474" s="2" t="s">
        <v>2</v>
      </c>
      <c r="E474" s="2" t="s">
        <v>3</v>
      </c>
    </row>
    <row r="475" spans="2:5" x14ac:dyDescent="0.3">
      <c r="B475" s="3" t="s">
        <v>4</v>
      </c>
      <c r="C475" s="1">
        <v>13706.1</v>
      </c>
      <c r="D475" s="1">
        <v>12529.94</v>
      </c>
      <c r="E475" s="1">
        <v>2256.5500000000002</v>
      </c>
    </row>
    <row r="476" spans="2:5" x14ac:dyDescent="0.3">
      <c r="B476" s="49" t="s">
        <v>10</v>
      </c>
      <c r="C476" s="50"/>
      <c r="D476" s="51"/>
      <c r="E476" s="1">
        <f>C475-E475</f>
        <v>11449.55</v>
      </c>
    </row>
    <row r="478" spans="2:5" ht="28.8" x14ac:dyDescent="0.3">
      <c r="B478" s="60" t="s">
        <v>37</v>
      </c>
      <c r="C478" s="51"/>
      <c r="D478" s="21" t="s">
        <v>41</v>
      </c>
      <c r="E478" s="3"/>
    </row>
    <row r="479" spans="2:5" x14ac:dyDescent="0.3">
      <c r="B479" s="60" t="s">
        <v>38</v>
      </c>
      <c r="C479" s="51"/>
      <c r="D479" s="1">
        <v>0</v>
      </c>
      <c r="E479" s="1"/>
    </row>
    <row r="480" spans="2:5" x14ac:dyDescent="0.3">
      <c r="B480" s="52"/>
      <c r="C480" s="51"/>
      <c r="D480" s="1">
        <v>0</v>
      </c>
      <c r="E480" s="1"/>
    </row>
    <row r="481" spans="2:5" x14ac:dyDescent="0.3">
      <c r="B481" s="52"/>
      <c r="C481" s="51"/>
      <c r="D481" s="1">
        <v>0</v>
      </c>
      <c r="E481" s="1"/>
    </row>
    <row r="482" spans="2:5" x14ac:dyDescent="0.3">
      <c r="B482" s="60" t="s">
        <v>40</v>
      </c>
      <c r="C482" s="51"/>
      <c r="D482" s="1">
        <v>0</v>
      </c>
      <c r="E482" s="1"/>
    </row>
    <row r="483" spans="2:5" x14ac:dyDescent="0.3">
      <c r="B483" s="52"/>
      <c r="C483" s="51"/>
      <c r="D483" s="1">
        <v>0</v>
      </c>
      <c r="E483" s="1"/>
    </row>
    <row r="484" spans="2:5" x14ac:dyDescent="0.3">
      <c r="B484" s="52"/>
      <c r="C484" s="51"/>
      <c r="D484" s="1">
        <v>0</v>
      </c>
      <c r="E484" s="1"/>
    </row>
    <row r="485" spans="2:5" x14ac:dyDescent="0.3">
      <c r="B485" s="61" t="s">
        <v>47</v>
      </c>
      <c r="C485" s="51"/>
      <c r="D485" s="1">
        <v>0</v>
      </c>
      <c r="E485" s="1"/>
    </row>
    <row r="486" spans="2:5" x14ac:dyDescent="0.3">
      <c r="B486" s="52"/>
      <c r="C486" s="51"/>
      <c r="D486" s="1">
        <v>0</v>
      </c>
      <c r="E486" s="1"/>
    </row>
    <row r="487" spans="2:5" x14ac:dyDescent="0.3">
      <c r="B487" s="52"/>
      <c r="C487" s="51"/>
      <c r="D487" s="1"/>
      <c r="E487" s="1"/>
    </row>
    <row r="488" spans="2:5" x14ac:dyDescent="0.3">
      <c r="B488" s="52"/>
      <c r="C488" s="51"/>
      <c r="D488" s="1">
        <v>0</v>
      </c>
      <c r="E488" s="1"/>
    </row>
    <row r="489" spans="2:5" x14ac:dyDescent="0.3">
      <c r="B489" s="56" t="s">
        <v>52</v>
      </c>
      <c r="C489" s="57"/>
      <c r="D489" s="1">
        <v>0</v>
      </c>
      <c r="E489" s="1"/>
    </row>
    <row r="490" spans="2:5" x14ac:dyDescent="0.3">
      <c r="B490" s="52" t="s">
        <v>53</v>
      </c>
      <c r="C490" s="51"/>
      <c r="D490" s="1">
        <f>376.16+376.16</f>
        <v>752.32</v>
      </c>
      <c r="E490" s="1"/>
    </row>
    <row r="491" spans="2:5" ht="15.6" x14ac:dyDescent="0.3">
      <c r="B491" s="52" t="s">
        <v>410</v>
      </c>
      <c r="C491" s="51"/>
      <c r="D491" s="34">
        <v>1504.23</v>
      </c>
      <c r="E491" s="1"/>
    </row>
    <row r="492" spans="2:5" x14ac:dyDescent="0.3">
      <c r="B492" s="59" t="s">
        <v>42</v>
      </c>
      <c r="C492" s="51"/>
      <c r="D492" s="3">
        <f>SUM(D479:D491)</f>
        <v>2256.5500000000002</v>
      </c>
      <c r="E492" s="1"/>
    </row>
    <row r="493" spans="2:5" x14ac:dyDescent="0.3">
      <c r="B493" s="14"/>
      <c r="C493" s="14"/>
      <c r="D493" s="14"/>
      <c r="E493" s="14"/>
    </row>
    <row r="494" spans="2:5" x14ac:dyDescent="0.3">
      <c r="B494" t="s">
        <v>11</v>
      </c>
    </row>
    <row r="495" spans="2:5" x14ac:dyDescent="0.3">
      <c r="B495" t="s">
        <v>12</v>
      </c>
      <c r="C495" t="s">
        <v>13</v>
      </c>
    </row>
    <row r="499" spans="2:5" ht="15.6" x14ac:dyDescent="0.3">
      <c r="C499" s="4" t="s">
        <v>6</v>
      </c>
      <c r="D499" s="4"/>
    </row>
    <row r="500" spans="2:5" x14ac:dyDescent="0.3">
      <c r="B500" s="5" t="s">
        <v>7</v>
      </c>
      <c r="C500" s="5"/>
      <c r="D500" s="5"/>
      <c r="E500" s="5"/>
    </row>
    <row r="501" spans="2:5" x14ac:dyDescent="0.3">
      <c r="B501" s="5"/>
      <c r="C501" s="5" t="s">
        <v>30</v>
      </c>
      <c r="D501" s="5"/>
      <c r="E501" s="5"/>
    </row>
    <row r="502" spans="2:5" x14ac:dyDescent="0.3">
      <c r="B502" t="s">
        <v>163</v>
      </c>
      <c r="C502" t="s">
        <v>178</v>
      </c>
      <c r="D502" s="6">
        <v>17</v>
      </c>
    </row>
    <row r="505" spans="2:5" ht="28.8" x14ac:dyDescent="0.3">
      <c r="B505" s="1" t="s">
        <v>0</v>
      </c>
      <c r="C505" s="2" t="s">
        <v>1</v>
      </c>
      <c r="D505" s="2" t="s">
        <v>2</v>
      </c>
      <c r="E505" s="2" t="s">
        <v>3</v>
      </c>
    </row>
    <row r="506" spans="2:5" x14ac:dyDescent="0.3">
      <c r="B506" s="3" t="s">
        <v>4</v>
      </c>
      <c r="C506" s="1">
        <v>14519.34</v>
      </c>
      <c r="D506" s="1">
        <v>12786.31</v>
      </c>
      <c r="E506" s="1">
        <v>46172.73</v>
      </c>
    </row>
    <row r="507" spans="2:5" x14ac:dyDescent="0.3">
      <c r="B507" s="49" t="s">
        <v>10</v>
      </c>
      <c r="C507" s="50"/>
      <c r="D507" s="51"/>
      <c r="E507" s="1">
        <f>C506-E506</f>
        <v>-31653.390000000003</v>
      </c>
    </row>
    <row r="509" spans="2:5" ht="28.8" x14ac:dyDescent="0.3">
      <c r="B509" s="60" t="s">
        <v>37</v>
      </c>
      <c r="C509" s="51"/>
      <c r="D509" s="21" t="s">
        <v>41</v>
      </c>
      <c r="E509" s="3"/>
    </row>
    <row r="510" spans="2:5" x14ac:dyDescent="0.3">
      <c r="B510" s="60" t="s">
        <v>38</v>
      </c>
      <c r="C510" s="51"/>
      <c r="D510" s="1">
        <v>0</v>
      </c>
      <c r="E510" s="1"/>
    </row>
    <row r="511" spans="2:5" x14ac:dyDescent="0.3">
      <c r="B511" s="52"/>
      <c r="C511" s="51"/>
      <c r="D511" s="1">
        <v>0</v>
      </c>
      <c r="E511" s="1"/>
    </row>
    <row r="512" spans="2:5" x14ac:dyDescent="0.3">
      <c r="B512" s="52"/>
      <c r="C512" s="51"/>
      <c r="D512" s="1">
        <v>0</v>
      </c>
      <c r="E512" s="1"/>
    </row>
    <row r="513" spans="2:5" x14ac:dyDescent="0.3">
      <c r="B513" s="60" t="s">
        <v>40</v>
      </c>
      <c r="C513" s="51"/>
      <c r="D513" s="1">
        <v>0</v>
      </c>
      <c r="E513" s="1"/>
    </row>
    <row r="514" spans="2:5" x14ac:dyDescent="0.3">
      <c r="B514" s="52" t="s">
        <v>195</v>
      </c>
      <c r="C514" s="51"/>
      <c r="D514" s="27">
        <v>236.95</v>
      </c>
      <c r="E514" s="1"/>
    </row>
    <row r="515" spans="2:5" x14ac:dyDescent="0.3">
      <c r="B515" s="52"/>
      <c r="C515" s="51"/>
      <c r="D515" s="1">
        <v>0</v>
      </c>
      <c r="E515" s="1"/>
    </row>
    <row r="516" spans="2:5" x14ac:dyDescent="0.3">
      <c r="B516" s="61" t="s">
        <v>47</v>
      </c>
      <c r="C516" s="51"/>
      <c r="D516" s="1">
        <v>0</v>
      </c>
      <c r="E516" s="1"/>
    </row>
    <row r="517" spans="2:5" x14ac:dyDescent="0.3">
      <c r="B517" s="52" t="s">
        <v>214</v>
      </c>
      <c r="C517" s="51"/>
      <c r="D517" s="27">
        <v>45559.62</v>
      </c>
      <c r="E517" s="1"/>
    </row>
    <row r="518" spans="2:5" x14ac:dyDescent="0.3">
      <c r="B518" s="52"/>
      <c r="C518" s="51"/>
      <c r="D518" s="1"/>
      <c r="E518" s="1"/>
    </row>
    <row r="519" spans="2:5" x14ac:dyDescent="0.3">
      <c r="B519" s="52"/>
      <c r="C519" s="51"/>
      <c r="D519" s="1">
        <v>0</v>
      </c>
      <c r="E519" s="1"/>
    </row>
    <row r="520" spans="2:5" x14ac:dyDescent="0.3">
      <c r="B520" s="56" t="s">
        <v>52</v>
      </c>
      <c r="C520" s="57"/>
      <c r="D520" s="1">
        <v>0</v>
      </c>
      <c r="E520" s="1"/>
    </row>
    <row r="521" spans="2:5" ht="15.6" x14ac:dyDescent="0.3">
      <c r="B521" s="52" t="s">
        <v>53</v>
      </c>
      <c r="C521" s="51"/>
      <c r="D521" s="34">
        <v>376.16</v>
      </c>
      <c r="E521" s="1"/>
    </row>
    <row r="522" spans="2:5" x14ac:dyDescent="0.3">
      <c r="B522" s="52"/>
      <c r="C522" s="51"/>
      <c r="D522" s="1">
        <v>0</v>
      </c>
      <c r="E522" s="1"/>
    </row>
    <row r="523" spans="2:5" x14ac:dyDescent="0.3">
      <c r="B523" s="59" t="s">
        <v>42</v>
      </c>
      <c r="C523" s="51"/>
      <c r="D523" s="3">
        <f>SUM(D510:D522)</f>
        <v>46172.73</v>
      </c>
      <c r="E523" s="1"/>
    </row>
    <row r="524" spans="2:5" x14ac:dyDescent="0.3">
      <c r="B524" s="14"/>
      <c r="C524" s="14"/>
      <c r="D524" s="14"/>
      <c r="E524" s="14"/>
    </row>
    <row r="525" spans="2:5" x14ac:dyDescent="0.3">
      <c r="B525" t="s">
        <v>11</v>
      </c>
    </row>
    <row r="526" spans="2:5" x14ac:dyDescent="0.3">
      <c r="B526" t="s">
        <v>12</v>
      </c>
      <c r="C526" t="s">
        <v>13</v>
      </c>
    </row>
    <row r="530" spans="2:5" ht="15.6" x14ac:dyDescent="0.3">
      <c r="C530" s="4" t="s">
        <v>6</v>
      </c>
      <c r="D530" s="4"/>
    </row>
    <row r="531" spans="2:5" x14ac:dyDescent="0.3">
      <c r="B531" s="5" t="s">
        <v>7</v>
      </c>
      <c r="C531" s="5"/>
      <c r="D531" s="5"/>
      <c r="E531" s="5"/>
    </row>
    <row r="532" spans="2:5" x14ac:dyDescent="0.3">
      <c r="B532" s="5"/>
      <c r="C532" s="5" t="s">
        <v>30</v>
      </c>
      <c r="D532" s="5"/>
      <c r="E532" s="5"/>
    </row>
    <row r="533" spans="2:5" x14ac:dyDescent="0.3">
      <c r="B533" t="s">
        <v>163</v>
      </c>
      <c r="C533" t="s">
        <v>178</v>
      </c>
      <c r="D533" s="6">
        <v>18</v>
      </c>
    </row>
    <row r="536" spans="2:5" ht="28.8" x14ac:dyDescent="0.3">
      <c r="B536" s="1" t="s">
        <v>0</v>
      </c>
      <c r="C536" s="2" t="s">
        <v>1</v>
      </c>
      <c r="D536" s="2" t="s">
        <v>2</v>
      </c>
      <c r="E536" s="2" t="s">
        <v>3</v>
      </c>
    </row>
    <row r="537" spans="2:5" x14ac:dyDescent="0.3">
      <c r="B537" s="3" t="s">
        <v>4</v>
      </c>
      <c r="C537" s="1">
        <v>10962.36</v>
      </c>
      <c r="D537" s="1">
        <v>10116.75</v>
      </c>
      <c r="E537" s="1">
        <v>7225.61</v>
      </c>
    </row>
    <row r="538" spans="2:5" x14ac:dyDescent="0.3">
      <c r="B538" s="49" t="s">
        <v>10</v>
      </c>
      <c r="C538" s="50"/>
      <c r="D538" s="51"/>
      <c r="E538" s="1">
        <f>C537-E537</f>
        <v>3736.7500000000009</v>
      </c>
    </row>
    <row r="540" spans="2:5" ht="28.8" x14ac:dyDescent="0.3">
      <c r="B540" s="60" t="s">
        <v>37</v>
      </c>
      <c r="C540" s="51"/>
      <c r="D540" s="21" t="s">
        <v>41</v>
      </c>
      <c r="E540" s="3"/>
    </row>
    <row r="541" spans="2:5" x14ac:dyDescent="0.3">
      <c r="B541" s="60" t="s">
        <v>38</v>
      </c>
      <c r="C541" s="51"/>
      <c r="D541" s="1">
        <v>0</v>
      </c>
      <c r="E541" s="1"/>
    </row>
    <row r="542" spans="2:5" x14ac:dyDescent="0.3">
      <c r="B542" s="52"/>
      <c r="C542" s="51"/>
      <c r="D542" s="1">
        <v>0</v>
      </c>
      <c r="E542" s="1"/>
    </row>
    <row r="543" spans="2:5" x14ac:dyDescent="0.3">
      <c r="B543" s="52"/>
      <c r="C543" s="51"/>
      <c r="D543" s="1">
        <v>0</v>
      </c>
      <c r="E543" s="1"/>
    </row>
    <row r="544" spans="2:5" x14ac:dyDescent="0.3">
      <c r="B544" s="60" t="s">
        <v>40</v>
      </c>
      <c r="C544" s="51"/>
      <c r="D544" s="1">
        <v>0</v>
      </c>
      <c r="E544" s="1"/>
    </row>
    <row r="545" spans="2:5" x14ac:dyDescent="0.3">
      <c r="B545" s="52" t="s">
        <v>55</v>
      </c>
      <c r="C545" s="51"/>
      <c r="D545" s="30">
        <v>2088.0100000000002</v>
      </c>
      <c r="E545" s="1"/>
    </row>
    <row r="546" spans="2:5" x14ac:dyDescent="0.3">
      <c r="B546" s="52" t="s">
        <v>195</v>
      </c>
      <c r="C546" s="51"/>
      <c r="D546" s="30">
        <v>1350.33</v>
      </c>
      <c r="E546" s="1"/>
    </row>
    <row r="547" spans="2:5" x14ac:dyDescent="0.3">
      <c r="B547" s="61" t="s">
        <v>47</v>
      </c>
      <c r="C547" s="51"/>
      <c r="D547" s="1">
        <v>0</v>
      </c>
      <c r="E547" s="1"/>
    </row>
    <row r="548" spans="2:5" x14ac:dyDescent="0.3">
      <c r="B548" s="52" t="s">
        <v>192</v>
      </c>
      <c r="C548" s="51"/>
      <c r="D548" s="30">
        <v>726.45</v>
      </c>
      <c r="E548" s="1"/>
    </row>
    <row r="549" spans="2:5" x14ac:dyDescent="0.3">
      <c r="B549" s="52"/>
      <c r="C549" s="51"/>
      <c r="D549" s="1"/>
      <c r="E549" s="1"/>
    </row>
    <row r="550" spans="2:5" x14ac:dyDescent="0.3">
      <c r="B550" s="52"/>
      <c r="C550" s="51"/>
      <c r="D550" s="1">
        <v>0</v>
      </c>
      <c r="E550" s="1"/>
    </row>
    <row r="551" spans="2:5" x14ac:dyDescent="0.3">
      <c r="B551" s="56" t="s">
        <v>52</v>
      </c>
      <c r="C551" s="57"/>
      <c r="D551" s="1">
        <v>0</v>
      </c>
      <c r="E551" s="1"/>
    </row>
    <row r="552" spans="2:5" ht="15.6" x14ac:dyDescent="0.3">
      <c r="B552" s="52" t="s">
        <v>53</v>
      </c>
      <c r="C552" s="51"/>
      <c r="D552" s="34">
        <v>376.16</v>
      </c>
      <c r="E552" s="1"/>
    </row>
    <row r="553" spans="2:5" x14ac:dyDescent="0.3">
      <c r="B553" s="52" t="s">
        <v>196</v>
      </c>
      <c r="C553" s="51"/>
      <c r="D553" s="1">
        <f>2684.66</f>
        <v>2684.66</v>
      </c>
      <c r="E553" s="1"/>
    </row>
    <row r="554" spans="2:5" x14ac:dyDescent="0.3">
      <c r="B554" s="59" t="s">
        <v>42</v>
      </c>
      <c r="C554" s="51"/>
      <c r="D554" s="3">
        <f>SUM(D541:D553)</f>
        <v>7225.61</v>
      </c>
      <c r="E554" s="1"/>
    </row>
    <row r="555" spans="2:5" x14ac:dyDescent="0.3">
      <c r="B555" s="14"/>
      <c r="C555" s="14"/>
      <c r="D555" s="14"/>
      <c r="E555" s="14"/>
    </row>
    <row r="556" spans="2:5" x14ac:dyDescent="0.3">
      <c r="B556" t="s">
        <v>11</v>
      </c>
    </row>
    <row r="557" spans="2:5" x14ac:dyDescent="0.3">
      <c r="B557" t="s">
        <v>12</v>
      </c>
      <c r="C557" t="s">
        <v>13</v>
      </c>
    </row>
    <row r="563" spans="2:5" ht="15.6" x14ac:dyDescent="0.3">
      <c r="C563" s="4" t="s">
        <v>6</v>
      </c>
      <c r="D563" s="4"/>
    </row>
    <row r="564" spans="2:5" x14ac:dyDescent="0.3">
      <c r="B564" s="5" t="s">
        <v>7</v>
      </c>
      <c r="C564" s="5"/>
      <c r="D564" s="5"/>
      <c r="E564" s="5"/>
    </row>
    <row r="565" spans="2:5" x14ac:dyDescent="0.3">
      <c r="B565" s="5"/>
      <c r="C565" s="5" t="s">
        <v>30</v>
      </c>
      <c r="D565" s="5"/>
      <c r="E565" s="5"/>
    </row>
    <row r="566" spans="2:5" x14ac:dyDescent="0.3">
      <c r="B566" t="s">
        <v>163</v>
      </c>
      <c r="C566" t="s">
        <v>178</v>
      </c>
      <c r="D566" s="6">
        <v>19</v>
      </c>
    </row>
    <row r="569" spans="2:5" ht="28.8" x14ac:dyDescent="0.3">
      <c r="B569" s="1" t="s">
        <v>0</v>
      </c>
      <c r="C569" s="2" t="s">
        <v>1</v>
      </c>
      <c r="D569" s="2" t="s">
        <v>2</v>
      </c>
      <c r="E569" s="2" t="s">
        <v>3</v>
      </c>
    </row>
    <row r="570" spans="2:5" x14ac:dyDescent="0.3">
      <c r="B570" s="3" t="s">
        <v>4</v>
      </c>
      <c r="C570" s="1">
        <v>14503.56</v>
      </c>
      <c r="D570" s="1">
        <v>13584.87</v>
      </c>
      <c r="E570" s="1">
        <v>67018.27</v>
      </c>
    </row>
    <row r="571" spans="2:5" x14ac:dyDescent="0.3">
      <c r="B571" s="49" t="s">
        <v>10</v>
      </c>
      <c r="C571" s="50"/>
      <c r="D571" s="51"/>
      <c r="E571" s="1">
        <f>C570-E570</f>
        <v>-52514.710000000006</v>
      </c>
    </row>
    <row r="573" spans="2:5" ht="28.8" x14ac:dyDescent="0.3">
      <c r="B573" s="60" t="s">
        <v>37</v>
      </c>
      <c r="C573" s="51"/>
      <c r="D573" s="21" t="s">
        <v>41</v>
      </c>
      <c r="E573" s="3"/>
    </row>
    <row r="574" spans="2:5" x14ac:dyDescent="0.3">
      <c r="B574" s="60" t="s">
        <v>38</v>
      </c>
      <c r="C574" s="51"/>
      <c r="D574" s="1">
        <v>0</v>
      </c>
      <c r="E574" s="1"/>
    </row>
    <row r="575" spans="2:5" x14ac:dyDescent="0.3">
      <c r="B575" s="52"/>
      <c r="C575" s="51"/>
      <c r="D575" s="1">
        <v>0</v>
      </c>
      <c r="E575" s="1"/>
    </row>
    <row r="576" spans="2:5" x14ac:dyDescent="0.3">
      <c r="B576" s="52"/>
      <c r="C576" s="51"/>
      <c r="D576" s="1">
        <v>0</v>
      </c>
      <c r="E576" s="1"/>
    </row>
    <row r="577" spans="2:5" x14ac:dyDescent="0.3">
      <c r="B577" s="60" t="s">
        <v>40</v>
      </c>
      <c r="C577" s="51"/>
      <c r="D577" s="1">
        <v>0</v>
      </c>
      <c r="E577" s="1"/>
    </row>
    <row r="578" spans="2:5" x14ac:dyDescent="0.3">
      <c r="B578" s="52"/>
      <c r="C578" s="51"/>
      <c r="D578" s="1">
        <v>0</v>
      </c>
      <c r="E578" s="1"/>
    </row>
    <row r="579" spans="2:5" x14ac:dyDescent="0.3">
      <c r="B579" s="52"/>
      <c r="C579" s="51"/>
      <c r="D579" s="1">
        <v>0</v>
      </c>
      <c r="E579" s="1"/>
    </row>
    <row r="580" spans="2:5" x14ac:dyDescent="0.3">
      <c r="B580" s="61" t="s">
        <v>47</v>
      </c>
      <c r="C580" s="51"/>
      <c r="D580" s="1">
        <v>0</v>
      </c>
      <c r="E580" s="1"/>
    </row>
    <row r="581" spans="2:5" ht="15.6" x14ac:dyDescent="0.3">
      <c r="B581" s="52" t="s">
        <v>214</v>
      </c>
      <c r="C581" s="51"/>
      <c r="D581" s="35">
        <v>65208.84</v>
      </c>
      <c r="E581" s="1"/>
    </row>
    <row r="582" spans="2:5" x14ac:dyDescent="0.3">
      <c r="B582" s="52"/>
      <c r="C582" s="51"/>
      <c r="D582" s="1"/>
      <c r="E582" s="1"/>
    </row>
    <row r="583" spans="2:5" x14ac:dyDescent="0.3">
      <c r="B583" s="52"/>
      <c r="C583" s="51"/>
      <c r="D583" s="1">
        <v>0</v>
      </c>
      <c r="E583" s="1"/>
    </row>
    <row r="584" spans="2:5" x14ac:dyDescent="0.3">
      <c r="B584" s="56" t="s">
        <v>52</v>
      </c>
      <c r="C584" s="57"/>
      <c r="D584" s="1">
        <v>0</v>
      </c>
      <c r="E584" s="1"/>
    </row>
    <row r="585" spans="2:5" x14ac:dyDescent="0.3">
      <c r="B585" s="52" t="s">
        <v>53</v>
      </c>
      <c r="C585" s="51"/>
      <c r="D585" s="1">
        <f>188.08+188.08</f>
        <v>376.16</v>
      </c>
      <c r="E585" s="1"/>
    </row>
    <row r="586" spans="2:5" ht="15.6" x14ac:dyDescent="0.3">
      <c r="B586" s="52" t="s">
        <v>411</v>
      </c>
      <c r="C586" s="51"/>
      <c r="D586" s="34">
        <v>1433.27</v>
      </c>
      <c r="E586" s="1"/>
    </row>
    <row r="587" spans="2:5" x14ac:dyDescent="0.3">
      <c r="B587" s="59" t="s">
        <v>42</v>
      </c>
      <c r="C587" s="51"/>
      <c r="D587" s="3">
        <f>SUM(D574:D586)</f>
        <v>67018.27</v>
      </c>
      <c r="E587" s="1"/>
    </row>
    <row r="588" spans="2:5" x14ac:dyDescent="0.3">
      <c r="B588" s="14"/>
      <c r="C588" s="14"/>
      <c r="D588" s="14"/>
      <c r="E588" s="14"/>
    </row>
    <row r="589" spans="2:5" x14ac:dyDescent="0.3">
      <c r="B589" t="s">
        <v>11</v>
      </c>
    </row>
    <row r="590" spans="2:5" x14ac:dyDescent="0.3">
      <c r="B590" t="s">
        <v>12</v>
      </c>
      <c r="C590" t="s">
        <v>13</v>
      </c>
    </row>
    <row r="596" spans="2:5" ht="15.6" x14ac:dyDescent="0.3">
      <c r="C596" s="4" t="s">
        <v>6</v>
      </c>
      <c r="D596" s="4"/>
    </row>
    <row r="597" spans="2:5" x14ac:dyDescent="0.3">
      <c r="B597" s="5" t="s">
        <v>7</v>
      </c>
      <c r="C597" s="5"/>
      <c r="D597" s="5"/>
      <c r="E597" s="5"/>
    </row>
    <row r="598" spans="2:5" x14ac:dyDescent="0.3">
      <c r="B598" s="5"/>
      <c r="C598" s="5" t="s">
        <v>30</v>
      </c>
      <c r="D598" s="5"/>
      <c r="E598" s="5"/>
    </row>
    <row r="599" spans="2:5" x14ac:dyDescent="0.3">
      <c r="B599" t="s">
        <v>163</v>
      </c>
      <c r="C599" t="s">
        <v>178</v>
      </c>
      <c r="D599" s="6">
        <v>20</v>
      </c>
    </row>
    <row r="602" spans="2:5" ht="28.8" x14ac:dyDescent="0.3">
      <c r="B602" s="1" t="s">
        <v>0</v>
      </c>
      <c r="C602" s="2" t="s">
        <v>1</v>
      </c>
      <c r="D602" s="2" t="s">
        <v>2</v>
      </c>
      <c r="E602" s="2" t="s">
        <v>3</v>
      </c>
    </row>
    <row r="603" spans="2:5" x14ac:dyDescent="0.3">
      <c r="B603" s="3" t="s">
        <v>4</v>
      </c>
      <c r="C603" s="1">
        <v>14703.96</v>
      </c>
      <c r="D603" s="1">
        <v>13208.32</v>
      </c>
      <c r="E603" s="1">
        <v>2273.36</v>
      </c>
    </row>
    <row r="604" spans="2:5" x14ac:dyDescent="0.3">
      <c r="B604" s="49" t="s">
        <v>10</v>
      </c>
      <c r="C604" s="50"/>
      <c r="D604" s="51"/>
      <c r="E604" s="1">
        <f>C603-E603</f>
        <v>12430.599999999999</v>
      </c>
    </row>
    <row r="606" spans="2:5" ht="28.8" x14ac:dyDescent="0.3">
      <c r="B606" s="60" t="s">
        <v>37</v>
      </c>
      <c r="C606" s="51"/>
      <c r="D606" s="21" t="s">
        <v>41</v>
      </c>
      <c r="E606" s="3"/>
    </row>
    <row r="607" spans="2:5" x14ac:dyDescent="0.3">
      <c r="B607" s="60" t="s">
        <v>38</v>
      </c>
      <c r="C607" s="51"/>
      <c r="D607" s="1">
        <v>0</v>
      </c>
      <c r="E607" s="1"/>
    </row>
    <row r="608" spans="2:5" x14ac:dyDescent="0.3">
      <c r="B608" s="52"/>
      <c r="C608" s="51"/>
      <c r="D608" s="1">
        <v>0</v>
      </c>
      <c r="E608" s="1"/>
    </row>
    <row r="609" spans="2:5" x14ac:dyDescent="0.3">
      <c r="B609" s="52"/>
      <c r="C609" s="51"/>
      <c r="D609" s="1">
        <v>0</v>
      </c>
      <c r="E609" s="1"/>
    </row>
    <row r="610" spans="2:5" x14ac:dyDescent="0.3">
      <c r="B610" s="60" t="s">
        <v>40</v>
      </c>
      <c r="C610" s="51"/>
      <c r="D610" s="1">
        <v>0</v>
      </c>
      <c r="E610" s="1"/>
    </row>
    <row r="611" spans="2:5" ht="15.6" x14ac:dyDescent="0.3">
      <c r="B611" s="52" t="s">
        <v>412</v>
      </c>
      <c r="C611" s="51"/>
      <c r="D611" s="34">
        <v>1991.24</v>
      </c>
      <c r="E611" s="1"/>
    </row>
    <row r="612" spans="2:5" x14ac:dyDescent="0.3">
      <c r="B612" s="52"/>
      <c r="C612" s="51"/>
      <c r="D612" s="1">
        <v>0</v>
      </c>
      <c r="E612" s="1"/>
    </row>
    <row r="613" spans="2:5" x14ac:dyDescent="0.3">
      <c r="B613" s="61" t="s">
        <v>47</v>
      </c>
      <c r="C613" s="51"/>
      <c r="D613" s="1">
        <v>0</v>
      </c>
      <c r="E613" s="1"/>
    </row>
    <row r="614" spans="2:5" x14ac:dyDescent="0.3">
      <c r="B614" s="52"/>
      <c r="C614" s="51"/>
      <c r="D614" s="1">
        <v>0</v>
      </c>
      <c r="E614" s="1"/>
    </row>
    <row r="615" spans="2:5" x14ac:dyDescent="0.3">
      <c r="B615" s="52"/>
      <c r="C615" s="51"/>
      <c r="D615" s="1"/>
      <c r="E615" s="1"/>
    </row>
    <row r="616" spans="2:5" x14ac:dyDescent="0.3">
      <c r="B616" s="52"/>
      <c r="C616" s="51"/>
      <c r="D616" s="1">
        <v>0</v>
      </c>
      <c r="E616" s="1"/>
    </row>
    <row r="617" spans="2:5" x14ac:dyDescent="0.3">
      <c r="B617" s="56" t="s">
        <v>52</v>
      </c>
      <c r="C617" s="57"/>
      <c r="D617" s="1">
        <v>0</v>
      </c>
      <c r="E617" s="1"/>
    </row>
    <row r="618" spans="2:5" ht="15.6" x14ac:dyDescent="0.3">
      <c r="B618" s="52" t="s">
        <v>53</v>
      </c>
      <c r="C618" s="51"/>
      <c r="D618" s="34">
        <v>282.12</v>
      </c>
      <c r="E618" s="1"/>
    </row>
    <row r="619" spans="2:5" x14ac:dyDescent="0.3">
      <c r="B619" s="52"/>
      <c r="C619" s="51"/>
      <c r="D619" s="1">
        <v>0</v>
      </c>
      <c r="E619" s="1"/>
    </row>
    <row r="620" spans="2:5" x14ac:dyDescent="0.3">
      <c r="B620" s="59" t="s">
        <v>42</v>
      </c>
      <c r="C620" s="51"/>
      <c r="D620" s="3">
        <f>SUM(D607:D619)</f>
        <v>2273.36</v>
      </c>
      <c r="E620" s="1"/>
    </row>
    <row r="621" spans="2:5" x14ac:dyDescent="0.3">
      <c r="B621" s="14"/>
      <c r="C621" s="14"/>
      <c r="D621" s="14"/>
      <c r="E621" s="14"/>
    </row>
    <row r="622" spans="2:5" x14ac:dyDescent="0.3">
      <c r="B622" t="s">
        <v>11</v>
      </c>
    </row>
    <row r="623" spans="2:5" x14ac:dyDescent="0.3">
      <c r="B623" t="s">
        <v>12</v>
      </c>
      <c r="C623" t="s">
        <v>13</v>
      </c>
    </row>
    <row r="629" spans="2:5" ht="15.6" x14ac:dyDescent="0.3">
      <c r="C629" s="4" t="s">
        <v>6</v>
      </c>
      <c r="D629" s="4"/>
    </row>
    <row r="630" spans="2:5" x14ac:dyDescent="0.3">
      <c r="B630" s="5" t="s">
        <v>7</v>
      </c>
      <c r="C630" s="5"/>
      <c r="D630" s="5"/>
      <c r="E630" s="5"/>
    </row>
    <row r="631" spans="2:5" x14ac:dyDescent="0.3">
      <c r="B631" s="5"/>
      <c r="C631" s="5" t="s">
        <v>30</v>
      </c>
      <c r="D631" s="5"/>
      <c r="E631" s="5"/>
    </row>
    <row r="632" spans="2:5" x14ac:dyDescent="0.3">
      <c r="B632" t="s">
        <v>163</v>
      </c>
      <c r="C632" t="s">
        <v>178</v>
      </c>
      <c r="D632" s="6">
        <v>21</v>
      </c>
    </row>
    <row r="635" spans="2:5" ht="28.8" x14ac:dyDescent="0.3">
      <c r="B635" s="1" t="s">
        <v>0</v>
      </c>
      <c r="C635" s="2" t="s">
        <v>1</v>
      </c>
      <c r="D635" s="2" t="s">
        <v>2</v>
      </c>
      <c r="E635" s="2" t="s">
        <v>3</v>
      </c>
    </row>
    <row r="636" spans="2:5" x14ac:dyDescent="0.3">
      <c r="B636" s="3" t="s">
        <v>4</v>
      </c>
      <c r="C636" s="1">
        <v>14603.7</v>
      </c>
      <c r="D636" s="1">
        <v>12175.61</v>
      </c>
      <c r="E636" s="1">
        <v>188.08</v>
      </c>
    </row>
    <row r="637" spans="2:5" x14ac:dyDescent="0.3">
      <c r="B637" s="49" t="s">
        <v>10</v>
      </c>
      <c r="C637" s="50"/>
      <c r="D637" s="51"/>
      <c r="E637" s="1">
        <f>C636-E636</f>
        <v>14415.62</v>
      </c>
    </row>
    <row r="639" spans="2:5" ht="28.8" x14ac:dyDescent="0.3">
      <c r="B639" s="60" t="s">
        <v>37</v>
      </c>
      <c r="C639" s="51"/>
      <c r="D639" s="21" t="s">
        <v>41</v>
      </c>
      <c r="E639" s="3"/>
    </row>
    <row r="640" spans="2:5" x14ac:dyDescent="0.3">
      <c r="B640" s="60" t="s">
        <v>38</v>
      </c>
      <c r="C640" s="51"/>
      <c r="D640" s="1">
        <v>0</v>
      </c>
      <c r="E640" s="1"/>
    </row>
    <row r="641" spans="2:5" x14ac:dyDescent="0.3">
      <c r="B641" s="52"/>
      <c r="C641" s="51"/>
      <c r="D641" s="1">
        <v>0</v>
      </c>
      <c r="E641" s="1"/>
    </row>
    <row r="642" spans="2:5" x14ac:dyDescent="0.3">
      <c r="B642" s="52"/>
      <c r="C642" s="51"/>
      <c r="D642" s="1">
        <v>0</v>
      </c>
      <c r="E642" s="1"/>
    </row>
    <row r="643" spans="2:5" x14ac:dyDescent="0.3">
      <c r="B643" s="60" t="s">
        <v>40</v>
      </c>
      <c r="C643" s="51"/>
      <c r="D643" s="1">
        <v>0</v>
      </c>
      <c r="E643" s="1"/>
    </row>
    <row r="644" spans="2:5" x14ac:dyDescent="0.3">
      <c r="B644" s="52"/>
      <c r="C644" s="51"/>
      <c r="D644" s="1">
        <v>0</v>
      </c>
      <c r="E644" s="1"/>
    </row>
    <row r="645" spans="2:5" x14ac:dyDescent="0.3">
      <c r="B645" s="52"/>
      <c r="C645" s="51"/>
      <c r="D645" s="1">
        <v>0</v>
      </c>
      <c r="E645" s="1"/>
    </row>
    <row r="646" spans="2:5" x14ac:dyDescent="0.3">
      <c r="B646" s="61" t="s">
        <v>47</v>
      </c>
      <c r="C646" s="51"/>
      <c r="D646" s="1">
        <v>0</v>
      </c>
      <c r="E646" s="1"/>
    </row>
    <row r="647" spans="2:5" x14ac:dyDescent="0.3">
      <c r="B647" s="52"/>
      <c r="C647" s="51"/>
      <c r="D647" s="1">
        <v>0</v>
      </c>
      <c r="E647" s="1"/>
    </row>
    <row r="648" spans="2:5" x14ac:dyDescent="0.3">
      <c r="B648" s="52"/>
      <c r="C648" s="51"/>
      <c r="D648" s="1"/>
      <c r="E648" s="1"/>
    </row>
    <row r="649" spans="2:5" x14ac:dyDescent="0.3">
      <c r="B649" s="52"/>
      <c r="C649" s="51"/>
      <c r="D649" s="1">
        <v>0</v>
      </c>
      <c r="E649" s="1"/>
    </row>
    <row r="650" spans="2:5" x14ac:dyDescent="0.3">
      <c r="B650" s="56" t="s">
        <v>52</v>
      </c>
      <c r="C650" s="57"/>
      <c r="D650" s="1">
        <v>0</v>
      </c>
      <c r="E650" s="1"/>
    </row>
    <row r="651" spans="2:5" ht="15.6" x14ac:dyDescent="0.3">
      <c r="B651" s="52" t="s">
        <v>53</v>
      </c>
      <c r="C651" s="51"/>
      <c r="D651" s="34">
        <v>188.08</v>
      </c>
      <c r="E651" s="1"/>
    </row>
    <row r="652" spans="2:5" x14ac:dyDescent="0.3">
      <c r="B652" s="52"/>
      <c r="C652" s="51"/>
      <c r="D652" s="1">
        <v>0</v>
      </c>
      <c r="E652" s="1"/>
    </row>
    <row r="653" spans="2:5" x14ac:dyDescent="0.3">
      <c r="B653" s="59" t="s">
        <v>42</v>
      </c>
      <c r="C653" s="51"/>
      <c r="D653" s="3">
        <f>SUM(D640:D652)</f>
        <v>188.08</v>
      </c>
      <c r="E653" s="1"/>
    </row>
    <row r="654" spans="2:5" x14ac:dyDescent="0.3">
      <c r="B654" s="14"/>
      <c r="C654" s="14"/>
      <c r="D654" s="14"/>
      <c r="E654" s="14"/>
    </row>
    <row r="655" spans="2:5" x14ac:dyDescent="0.3">
      <c r="B655" t="s">
        <v>11</v>
      </c>
    </row>
    <row r="656" spans="2:5" x14ac:dyDescent="0.3">
      <c r="B656" t="s">
        <v>12</v>
      </c>
      <c r="C656" t="s">
        <v>13</v>
      </c>
    </row>
    <row r="663" spans="2:5" ht="15.6" x14ac:dyDescent="0.3">
      <c r="C663" s="4" t="s">
        <v>6</v>
      </c>
      <c r="D663" s="4"/>
    </row>
    <row r="664" spans="2:5" x14ac:dyDescent="0.3">
      <c r="B664" s="5" t="s">
        <v>7</v>
      </c>
      <c r="C664" s="5"/>
      <c r="D664" s="5"/>
      <c r="E664" s="5"/>
    </row>
    <row r="665" spans="2:5" x14ac:dyDescent="0.3">
      <c r="B665" s="5"/>
      <c r="C665" s="5" t="s">
        <v>30</v>
      </c>
      <c r="D665" s="5"/>
      <c r="E665" s="5"/>
    </row>
    <row r="666" spans="2:5" x14ac:dyDescent="0.3">
      <c r="B666" t="s">
        <v>163</v>
      </c>
      <c r="C666" t="s">
        <v>178</v>
      </c>
      <c r="D666" s="6">
        <v>22</v>
      </c>
    </row>
    <row r="669" spans="2:5" ht="28.8" x14ac:dyDescent="0.3">
      <c r="B669" s="1" t="s">
        <v>0</v>
      </c>
      <c r="C669" s="2" t="s">
        <v>1</v>
      </c>
      <c r="D669" s="2" t="s">
        <v>2</v>
      </c>
      <c r="E669" s="2" t="s">
        <v>3</v>
      </c>
    </row>
    <row r="670" spans="2:5" x14ac:dyDescent="0.3">
      <c r="B670" s="3" t="s">
        <v>4</v>
      </c>
      <c r="C670" s="1">
        <v>14545.74</v>
      </c>
      <c r="D670" s="1">
        <v>12279.13</v>
      </c>
      <c r="E670" s="1">
        <v>0</v>
      </c>
    </row>
    <row r="671" spans="2:5" x14ac:dyDescent="0.3">
      <c r="B671" s="49" t="s">
        <v>10</v>
      </c>
      <c r="C671" s="50"/>
      <c r="D671" s="51"/>
      <c r="E671" s="1">
        <f>C670-E670</f>
        <v>14545.74</v>
      </c>
    </row>
    <row r="673" spans="2:5" ht="28.8" x14ac:dyDescent="0.3">
      <c r="B673" s="60" t="s">
        <v>37</v>
      </c>
      <c r="C673" s="51"/>
      <c r="D673" s="21" t="s">
        <v>41</v>
      </c>
      <c r="E673" s="3"/>
    </row>
    <row r="674" spans="2:5" x14ac:dyDescent="0.3">
      <c r="B674" s="60" t="s">
        <v>38</v>
      </c>
      <c r="C674" s="51"/>
      <c r="D674" s="1">
        <v>0</v>
      </c>
      <c r="E674" s="1"/>
    </row>
    <row r="675" spans="2:5" x14ac:dyDescent="0.3">
      <c r="B675" s="52"/>
      <c r="C675" s="51"/>
      <c r="D675" s="1">
        <v>0</v>
      </c>
      <c r="E675" s="1"/>
    </row>
    <row r="676" spans="2:5" x14ac:dyDescent="0.3">
      <c r="B676" s="52"/>
      <c r="C676" s="51"/>
      <c r="D676" s="1">
        <v>0</v>
      </c>
      <c r="E676" s="1"/>
    </row>
    <row r="677" spans="2:5" x14ac:dyDescent="0.3">
      <c r="B677" s="60" t="s">
        <v>40</v>
      </c>
      <c r="C677" s="51"/>
      <c r="D677" s="1">
        <v>0</v>
      </c>
      <c r="E677" s="1"/>
    </row>
    <row r="678" spans="2:5" x14ac:dyDescent="0.3">
      <c r="B678" s="52"/>
      <c r="C678" s="51"/>
      <c r="D678" s="1">
        <v>0</v>
      </c>
      <c r="E678" s="1"/>
    </row>
    <row r="679" spans="2:5" x14ac:dyDescent="0.3">
      <c r="B679" s="52"/>
      <c r="C679" s="51"/>
      <c r="D679" s="1">
        <v>0</v>
      </c>
      <c r="E679" s="1"/>
    </row>
    <row r="680" spans="2:5" x14ac:dyDescent="0.3">
      <c r="B680" s="61" t="s">
        <v>47</v>
      </c>
      <c r="C680" s="51"/>
      <c r="D680" s="1">
        <v>0</v>
      </c>
      <c r="E680" s="1"/>
    </row>
    <row r="681" spans="2:5" x14ac:dyDescent="0.3">
      <c r="B681" s="52"/>
      <c r="C681" s="51"/>
      <c r="D681" s="1">
        <v>0</v>
      </c>
      <c r="E681" s="1"/>
    </row>
    <row r="682" spans="2:5" x14ac:dyDescent="0.3">
      <c r="B682" s="52"/>
      <c r="C682" s="51"/>
      <c r="D682" s="1"/>
      <c r="E682" s="1"/>
    </row>
    <row r="683" spans="2:5" x14ac:dyDescent="0.3">
      <c r="B683" s="52"/>
      <c r="C683" s="51"/>
      <c r="D683" s="1">
        <v>0</v>
      </c>
      <c r="E683" s="1"/>
    </row>
    <row r="684" spans="2:5" x14ac:dyDescent="0.3">
      <c r="B684" s="56" t="s">
        <v>52</v>
      </c>
      <c r="C684" s="57"/>
      <c r="D684" s="1">
        <v>0</v>
      </c>
      <c r="E684" s="1"/>
    </row>
    <row r="685" spans="2:5" x14ac:dyDescent="0.3">
      <c r="B685" s="52" t="s">
        <v>53</v>
      </c>
      <c r="C685" s="51"/>
      <c r="D685" s="1"/>
      <c r="E685" s="1"/>
    </row>
    <row r="686" spans="2:5" x14ac:dyDescent="0.3">
      <c r="B686" s="52"/>
      <c r="C686" s="51"/>
      <c r="D686" s="1">
        <v>0</v>
      </c>
      <c r="E686" s="1"/>
    </row>
    <row r="687" spans="2:5" x14ac:dyDescent="0.3">
      <c r="B687" s="59" t="s">
        <v>42</v>
      </c>
      <c r="C687" s="51"/>
      <c r="D687" s="3">
        <f>SUM(D674:D686)</f>
        <v>0</v>
      </c>
      <c r="E687" s="1"/>
    </row>
    <row r="688" spans="2:5" x14ac:dyDescent="0.3">
      <c r="B688" s="14"/>
      <c r="C688" s="14"/>
      <c r="D688" s="14"/>
      <c r="E688" s="14"/>
    </row>
    <row r="689" spans="2:5" x14ac:dyDescent="0.3">
      <c r="B689" t="s">
        <v>11</v>
      </c>
    </row>
    <row r="690" spans="2:5" x14ac:dyDescent="0.3">
      <c r="B690" t="s">
        <v>12</v>
      </c>
      <c r="C690" t="s">
        <v>13</v>
      </c>
    </row>
    <row r="696" spans="2:5" ht="15.6" x14ac:dyDescent="0.3">
      <c r="C696" s="4" t="s">
        <v>6</v>
      </c>
      <c r="D696" s="4"/>
    </row>
    <row r="697" spans="2:5" x14ac:dyDescent="0.3">
      <c r="B697" s="5" t="s">
        <v>7</v>
      </c>
      <c r="C697" s="5"/>
      <c r="D697" s="5"/>
      <c r="E697" s="5"/>
    </row>
    <row r="698" spans="2:5" x14ac:dyDescent="0.3">
      <c r="B698" s="5"/>
      <c r="C698" s="5" t="s">
        <v>30</v>
      </c>
      <c r="D698" s="5"/>
      <c r="E698" s="5"/>
    </row>
    <row r="699" spans="2:5" x14ac:dyDescent="0.3">
      <c r="B699" t="s">
        <v>163</v>
      </c>
      <c r="C699" t="s">
        <v>178</v>
      </c>
      <c r="D699" s="6">
        <v>23</v>
      </c>
    </row>
    <row r="702" spans="2:5" ht="28.8" x14ac:dyDescent="0.3">
      <c r="B702" s="1" t="s">
        <v>0</v>
      </c>
      <c r="C702" s="2" t="s">
        <v>1</v>
      </c>
      <c r="D702" s="2" t="s">
        <v>2</v>
      </c>
      <c r="E702" s="2" t="s">
        <v>3</v>
      </c>
    </row>
    <row r="703" spans="2:5" x14ac:dyDescent="0.3">
      <c r="B703" s="3" t="s">
        <v>4</v>
      </c>
      <c r="C703" s="1">
        <v>14466.48</v>
      </c>
      <c r="D703" s="1">
        <v>13226.21</v>
      </c>
      <c r="E703" s="1">
        <v>57547.75</v>
      </c>
    </row>
    <row r="704" spans="2:5" x14ac:dyDescent="0.3">
      <c r="B704" s="49" t="s">
        <v>10</v>
      </c>
      <c r="C704" s="50"/>
      <c r="D704" s="51"/>
      <c r="E704" s="1">
        <f>C703-E703</f>
        <v>-43081.270000000004</v>
      </c>
    </row>
    <row r="706" spans="2:5" ht="28.8" x14ac:dyDescent="0.3">
      <c r="B706" s="60" t="s">
        <v>37</v>
      </c>
      <c r="C706" s="51"/>
      <c r="D706" s="21" t="s">
        <v>41</v>
      </c>
      <c r="E706" s="3"/>
    </row>
    <row r="707" spans="2:5" x14ac:dyDescent="0.3">
      <c r="B707" s="60" t="s">
        <v>38</v>
      </c>
      <c r="C707" s="51"/>
      <c r="D707" s="1">
        <v>0</v>
      </c>
      <c r="E707" s="1"/>
    </row>
    <row r="708" spans="2:5" x14ac:dyDescent="0.3">
      <c r="B708" s="52"/>
      <c r="C708" s="51"/>
      <c r="D708" s="1">
        <v>0</v>
      </c>
      <c r="E708" s="1"/>
    </row>
    <row r="709" spans="2:5" x14ac:dyDescent="0.3">
      <c r="B709" s="52"/>
      <c r="C709" s="51"/>
      <c r="D709" s="1">
        <v>0</v>
      </c>
      <c r="E709" s="1"/>
    </row>
    <row r="710" spans="2:5" x14ac:dyDescent="0.3">
      <c r="B710" s="60" t="s">
        <v>40</v>
      </c>
      <c r="C710" s="51"/>
      <c r="D710" s="1">
        <v>0</v>
      </c>
      <c r="E710" s="1"/>
    </row>
    <row r="711" spans="2:5" x14ac:dyDescent="0.3">
      <c r="B711" s="52" t="s">
        <v>63</v>
      </c>
      <c r="C711" s="51"/>
      <c r="D711" s="27">
        <v>3587.62</v>
      </c>
      <c r="E711" s="1"/>
    </row>
    <row r="712" spans="2:5" x14ac:dyDescent="0.3">
      <c r="B712" s="52"/>
      <c r="C712" s="51"/>
      <c r="D712" s="1">
        <v>0</v>
      </c>
      <c r="E712" s="1"/>
    </row>
    <row r="713" spans="2:5" x14ac:dyDescent="0.3">
      <c r="B713" s="61" t="s">
        <v>47</v>
      </c>
      <c r="C713" s="51"/>
      <c r="D713" s="1">
        <v>0</v>
      </c>
      <c r="E713" s="1"/>
    </row>
    <row r="714" spans="2:5" ht="24.6" customHeight="1" x14ac:dyDescent="0.3">
      <c r="B714" s="52" t="s">
        <v>413</v>
      </c>
      <c r="C714" s="51"/>
      <c r="D714" s="27">
        <v>148.18</v>
      </c>
      <c r="E714" s="1"/>
    </row>
    <row r="715" spans="2:5" x14ac:dyDescent="0.3">
      <c r="B715" s="52" t="s">
        <v>214</v>
      </c>
      <c r="C715" s="51"/>
      <c r="D715" s="30">
        <v>53811.95</v>
      </c>
      <c r="E715" s="1"/>
    </row>
    <row r="716" spans="2:5" x14ac:dyDescent="0.3">
      <c r="B716" s="52"/>
      <c r="C716" s="51"/>
      <c r="D716" s="1">
        <v>0</v>
      </c>
      <c r="E716" s="1"/>
    </row>
    <row r="717" spans="2:5" x14ac:dyDescent="0.3">
      <c r="B717" s="56" t="s">
        <v>52</v>
      </c>
      <c r="C717" s="57"/>
      <c r="D717" s="1">
        <v>0</v>
      </c>
      <c r="E717" s="1"/>
    </row>
    <row r="718" spans="2:5" x14ac:dyDescent="0.3">
      <c r="B718" s="52" t="s">
        <v>53</v>
      </c>
      <c r="C718" s="51"/>
      <c r="D718" s="1"/>
      <c r="E718" s="1"/>
    </row>
    <row r="719" spans="2:5" x14ac:dyDescent="0.3">
      <c r="B719" s="52"/>
      <c r="C719" s="51"/>
      <c r="D719" s="1">
        <v>0</v>
      </c>
      <c r="E719" s="1"/>
    </row>
    <row r="720" spans="2:5" x14ac:dyDescent="0.3">
      <c r="B720" s="59" t="s">
        <v>42</v>
      </c>
      <c r="C720" s="51"/>
      <c r="D720" s="3">
        <f>SUM(D707:D719)</f>
        <v>57547.75</v>
      </c>
      <c r="E720" s="1"/>
    </row>
    <row r="721" spans="2:5" x14ac:dyDescent="0.3">
      <c r="B721" s="14"/>
      <c r="C721" s="14"/>
      <c r="D721" s="14"/>
      <c r="E721" s="14"/>
    </row>
    <row r="722" spans="2:5" x14ac:dyDescent="0.3">
      <c r="B722" t="s">
        <v>11</v>
      </c>
    </row>
    <row r="723" spans="2:5" x14ac:dyDescent="0.3">
      <c r="B723" t="s">
        <v>12</v>
      </c>
      <c r="C723" t="s">
        <v>13</v>
      </c>
    </row>
    <row r="730" spans="2:5" ht="15.6" x14ac:dyDescent="0.3">
      <c r="C730" s="4" t="s">
        <v>6</v>
      </c>
      <c r="D730" s="4"/>
    </row>
    <row r="731" spans="2:5" x14ac:dyDescent="0.3">
      <c r="B731" s="5" t="s">
        <v>7</v>
      </c>
      <c r="C731" s="5"/>
      <c r="D731" s="5"/>
      <c r="E731" s="5"/>
    </row>
    <row r="732" spans="2:5" x14ac:dyDescent="0.3">
      <c r="B732" s="5"/>
      <c r="C732" s="5" t="s">
        <v>30</v>
      </c>
      <c r="D732" s="5"/>
      <c r="E732" s="5"/>
    </row>
    <row r="733" spans="2:5" x14ac:dyDescent="0.3">
      <c r="B733" t="s">
        <v>163</v>
      </c>
      <c r="C733" t="s">
        <v>178</v>
      </c>
      <c r="D733" s="6">
        <v>24</v>
      </c>
    </row>
    <row r="736" spans="2:5" ht="28.8" x14ac:dyDescent="0.3">
      <c r="B736" s="1" t="s">
        <v>0</v>
      </c>
      <c r="C736" s="2" t="s">
        <v>1</v>
      </c>
      <c r="D736" s="2" t="s">
        <v>2</v>
      </c>
      <c r="E736" s="2" t="s">
        <v>3</v>
      </c>
    </row>
    <row r="737" spans="2:5" x14ac:dyDescent="0.3">
      <c r="B737" s="3" t="s">
        <v>4</v>
      </c>
      <c r="C737" s="1">
        <v>14672.34</v>
      </c>
      <c r="D737" s="1">
        <v>13098.12</v>
      </c>
      <c r="E737" s="1">
        <v>95643.37</v>
      </c>
    </row>
    <row r="738" spans="2:5" x14ac:dyDescent="0.3">
      <c r="B738" s="49" t="s">
        <v>10</v>
      </c>
      <c r="C738" s="50"/>
      <c r="D738" s="51"/>
      <c r="E738" s="1">
        <f>C737-E737</f>
        <v>-80971.03</v>
      </c>
    </row>
    <row r="740" spans="2:5" ht="28.8" x14ac:dyDescent="0.3">
      <c r="B740" s="60" t="s">
        <v>37</v>
      </c>
      <c r="C740" s="51"/>
      <c r="D740" s="21" t="s">
        <v>41</v>
      </c>
      <c r="E740" s="3"/>
    </row>
    <row r="741" spans="2:5" x14ac:dyDescent="0.3">
      <c r="B741" s="60" t="s">
        <v>38</v>
      </c>
      <c r="C741" s="51"/>
      <c r="D741" s="1">
        <v>0</v>
      </c>
      <c r="E741" s="1"/>
    </row>
    <row r="742" spans="2:5" x14ac:dyDescent="0.3">
      <c r="B742" s="52"/>
      <c r="C742" s="51"/>
      <c r="D742" s="1">
        <v>0</v>
      </c>
      <c r="E742" s="1"/>
    </row>
    <row r="743" spans="2:5" x14ac:dyDescent="0.3">
      <c r="B743" s="52"/>
      <c r="C743" s="51"/>
      <c r="D743" s="1">
        <v>0</v>
      </c>
      <c r="E743" s="1"/>
    </row>
    <row r="744" spans="2:5" x14ac:dyDescent="0.3">
      <c r="B744" s="60" t="s">
        <v>40</v>
      </c>
      <c r="C744" s="51"/>
      <c r="D744" s="1">
        <v>0</v>
      </c>
      <c r="E744" s="1"/>
    </row>
    <row r="745" spans="2:5" x14ac:dyDescent="0.3">
      <c r="B745" s="52" t="s">
        <v>113</v>
      </c>
      <c r="C745" s="51"/>
      <c r="D745" s="27">
        <v>30682.04</v>
      </c>
      <c r="E745" s="1"/>
    </row>
    <row r="746" spans="2:5" x14ac:dyDescent="0.3">
      <c r="B746" s="52"/>
      <c r="C746" s="51"/>
      <c r="D746" s="1">
        <v>0</v>
      </c>
      <c r="E746" s="1"/>
    </row>
    <row r="747" spans="2:5" x14ac:dyDescent="0.3">
      <c r="B747" s="61" t="s">
        <v>47</v>
      </c>
      <c r="C747" s="51"/>
      <c r="D747" s="1">
        <v>0</v>
      </c>
      <c r="E747" s="1"/>
    </row>
    <row r="748" spans="2:5" ht="15.6" x14ac:dyDescent="0.3">
      <c r="B748" s="52" t="s">
        <v>214</v>
      </c>
      <c r="C748" s="51"/>
      <c r="D748" s="35">
        <v>53721.23</v>
      </c>
      <c r="E748" s="1"/>
    </row>
    <row r="749" spans="2:5" x14ac:dyDescent="0.3">
      <c r="B749" s="52"/>
      <c r="C749" s="51"/>
      <c r="D749" s="1"/>
      <c r="E749" s="1"/>
    </row>
    <row r="750" spans="2:5" x14ac:dyDescent="0.3">
      <c r="B750" s="52"/>
      <c r="C750" s="51"/>
      <c r="D750" s="1">
        <v>0</v>
      </c>
      <c r="E750" s="1"/>
    </row>
    <row r="751" spans="2:5" x14ac:dyDescent="0.3">
      <c r="B751" s="56" t="s">
        <v>52</v>
      </c>
      <c r="C751" s="57"/>
      <c r="D751" s="1">
        <v>0</v>
      </c>
      <c r="E751" s="1"/>
    </row>
    <row r="752" spans="2:5" ht="15.6" x14ac:dyDescent="0.3">
      <c r="B752" s="52" t="s">
        <v>53</v>
      </c>
      <c r="C752" s="51"/>
      <c r="D752" s="34">
        <v>188.08</v>
      </c>
      <c r="E752" s="1"/>
    </row>
    <row r="753" spans="2:5" ht="15.6" x14ac:dyDescent="0.3">
      <c r="B753" s="52" t="s">
        <v>414</v>
      </c>
      <c r="C753" s="51"/>
      <c r="D753" s="35">
        <v>11052.02</v>
      </c>
      <c r="E753" s="1"/>
    </row>
    <row r="754" spans="2:5" x14ac:dyDescent="0.3">
      <c r="B754" s="59" t="s">
        <v>42</v>
      </c>
      <c r="C754" s="51"/>
      <c r="D754" s="3">
        <f>SUM(D741:D753)</f>
        <v>95643.37000000001</v>
      </c>
      <c r="E754" s="1"/>
    </row>
    <row r="755" spans="2:5" x14ac:dyDescent="0.3">
      <c r="B755" s="14"/>
      <c r="C755" s="14"/>
      <c r="D755" s="14"/>
      <c r="E755" s="14"/>
    </row>
    <row r="756" spans="2:5" x14ac:dyDescent="0.3">
      <c r="B756" t="s">
        <v>11</v>
      </c>
    </row>
    <row r="757" spans="2:5" x14ac:dyDescent="0.3">
      <c r="B757" t="s">
        <v>12</v>
      </c>
      <c r="C757" t="s">
        <v>13</v>
      </c>
    </row>
    <row r="764" spans="2:5" ht="15.6" x14ac:dyDescent="0.3">
      <c r="C764" s="4" t="s">
        <v>6</v>
      </c>
      <c r="D764" s="4"/>
    </row>
    <row r="765" spans="2:5" x14ac:dyDescent="0.3">
      <c r="B765" s="5" t="s">
        <v>7</v>
      </c>
      <c r="C765" s="5"/>
      <c r="D765" s="5"/>
      <c r="E765" s="5"/>
    </row>
    <row r="766" spans="2:5" x14ac:dyDescent="0.3">
      <c r="B766" s="5"/>
      <c r="C766" s="5" t="s">
        <v>30</v>
      </c>
      <c r="D766" s="5"/>
      <c r="E766" s="5"/>
    </row>
    <row r="767" spans="2:5" x14ac:dyDescent="0.3">
      <c r="B767" t="s">
        <v>163</v>
      </c>
      <c r="C767" t="s">
        <v>178</v>
      </c>
      <c r="D767" s="6">
        <v>25</v>
      </c>
    </row>
    <row r="770" spans="2:5" ht="28.8" x14ac:dyDescent="0.3">
      <c r="B770" s="1" t="s">
        <v>0</v>
      </c>
      <c r="C770" s="2" t="s">
        <v>1</v>
      </c>
      <c r="D770" s="2" t="s">
        <v>2</v>
      </c>
      <c r="E770" s="2" t="s">
        <v>3</v>
      </c>
    </row>
    <row r="771" spans="2:5" x14ac:dyDescent="0.3">
      <c r="B771" s="3" t="s">
        <v>4</v>
      </c>
      <c r="C771" s="1">
        <v>15067.8</v>
      </c>
      <c r="D771" s="1">
        <v>13774.45</v>
      </c>
      <c r="E771" s="1">
        <v>12755.68</v>
      </c>
    </row>
    <row r="772" spans="2:5" x14ac:dyDescent="0.3">
      <c r="B772" s="49" t="s">
        <v>10</v>
      </c>
      <c r="C772" s="50"/>
      <c r="D772" s="51"/>
      <c r="E772" s="1">
        <f>C771-E771</f>
        <v>2312.119999999999</v>
      </c>
    </row>
    <row r="774" spans="2:5" ht="28.8" x14ac:dyDescent="0.3">
      <c r="B774" s="60" t="s">
        <v>37</v>
      </c>
      <c r="C774" s="51"/>
      <c r="D774" s="21" t="s">
        <v>41</v>
      </c>
      <c r="E774" s="3"/>
    </row>
    <row r="775" spans="2:5" x14ac:dyDescent="0.3">
      <c r="B775" s="60" t="s">
        <v>38</v>
      </c>
      <c r="C775" s="51"/>
      <c r="D775" s="1">
        <v>0</v>
      </c>
      <c r="E775" s="1"/>
    </row>
    <row r="776" spans="2:5" x14ac:dyDescent="0.3">
      <c r="B776" s="52"/>
      <c r="C776" s="51"/>
      <c r="D776" s="1">
        <v>0</v>
      </c>
      <c r="E776" s="1"/>
    </row>
    <row r="777" spans="2:5" x14ac:dyDescent="0.3">
      <c r="B777" s="52"/>
      <c r="C777" s="51"/>
      <c r="D777" s="1">
        <v>0</v>
      </c>
      <c r="E777" s="1"/>
    </row>
    <row r="778" spans="2:5" x14ac:dyDescent="0.3">
      <c r="B778" s="60" t="s">
        <v>40</v>
      </c>
      <c r="C778" s="51"/>
      <c r="D778" s="1">
        <v>0</v>
      </c>
      <c r="E778" s="1"/>
    </row>
    <row r="779" spans="2:5" x14ac:dyDescent="0.3">
      <c r="B779" s="52" t="s">
        <v>415</v>
      </c>
      <c r="C779" s="51"/>
      <c r="D779" s="27">
        <v>7622.8</v>
      </c>
      <c r="E779" s="1"/>
    </row>
    <row r="780" spans="2:5" x14ac:dyDescent="0.3">
      <c r="B780" s="52"/>
      <c r="C780" s="51"/>
      <c r="D780" s="1">
        <v>0</v>
      </c>
      <c r="E780" s="1"/>
    </row>
    <row r="781" spans="2:5" x14ac:dyDescent="0.3">
      <c r="B781" s="61" t="s">
        <v>47</v>
      </c>
      <c r="C781" s="51"/>
      <c r="D781" s="1">
        <v>0</v>
      </c>
      <c r="E781" s="1"/>
    </row>
    <row r="782" spans="2:5" x14ac:dyDescent="0.3">
      <c r="B782" s="52"/>
      <c r="C782" s="51"/>
      <c r="D782" s="1">
        <v>0</v>
      </c>
      <c r="E782" s="1"/>
    </row>
    <row r="783" spans="2:5" x14ac:dyDescent="0.3">
      <c r="B783" s="52"/>
      <c r="C783" s="51"/>
      <c r="D783" s="1"/>
      <c r="E783" s="1"/>
    </row>
    <row r="784" spans="2:5" x14ac:dyDescent="0.3">
      <c r="B784" s="52"/>
      <c r="C784" s="51"/>
      <c r="D784" s="1">
        <v>0</v>
      </c>
      <c r="E784" s="1"/>
    </row>
    <row r="785" spans="2:5" x14ac:dyDescent="0.3">
      <c r="B785" s="56" t="s">
        <v>52</v>
      </c>
      <c r="C785" s="57"/>
      <c r="D785" s="1">
        <v>0</v>
      </c>
      <c r="E785" s="1"/>
    </row>
    <row r="786" spans="2:5" ht="15.6" x14ac:dyDescent="0.3">
      <c r="B786" s="52" t="s">
        <v>53</v>
      </c>
      <c r="C786" s="51"/>
      <c r="D786" s="34">
        <v>188.08</v>
      </c>
      <c r="E786" s="1"/>
    </row>
    <row r="787" spans="2:5" x14ac:dyDescent="0.3">
      <c r="B787" s="52" t="s">
        <v>196</v>
      </c>
      <c r="C787" s="51"/>
      <c r="D787" s="27">
        <v>4944.8</v>
      </c>
      <c r="E787" s="1"/>
    </row>
    <row r="788" spans="2:5" x14ac:dyDescent="0.3">
      <c r="B788" s="59" t="s">
        <v>42</v>
      </c>
      <c r="C788" s="51"/>
      <c r="D788" s="3">
        <f>SUM(D775:D787)</f>
        <v>12755.68</v>
      </c>
      <c r="E788" s="1"/>
    </row>
    <row r="789" spans="2:5" x14ac:dyDescent="0.3">
      <c r="B789" s="14"/>
      <c r="C789" s="14"/>
      <c r="D789" s="14"/>
      <c r="E789" s="14"/>
    </row>
    <row r="790" spans="2:5" x14ac:dyDescent="0.3">
      <c r="B790" t="s">
        <v>11</v>
      </c>
    </row>
    <row r="791" spans="2:5" x14ac:dyDescent="0.3">
      <c r="B791" t="s">
        <v>12</v>
      </c>
      <c r="C791" t="s">
        <v>13</v>
      </c>
    </row>
    <row r="795" spans="2:5" ht="15.6" x14ac:dyDescent="0.3">
      <c r="C795" s="4" t="s">
        <v>6</v>
      </c>
      <c r="D795" s="4"/>
    </row>
    <row r="796" spans="2:5" x14ac:dyDescent="0.3">
      <c r="B796" s="5" t="s">
        <v>7</v>
      </c>
      <c r="C796" s="5"/>
      <c r="D796" s="5"/>
      <c r="E796" s="5"/>
    </row>
    <row r="797" spans="2:5" x14ac:dyDescent="0.3">
      <c r="B797" s="5"/>
      <c r="C797" s="5" t="s">
        <v>30</v>
      </c>
      <c r="D797" s="5"/>
      <c r="E797" s="5"/>
    </row>
    <row r="798" spans="2:5" x14ac:dyDescent="0.3">
      <c r="B798" t="s">
        <v>163</v>
      </c>
      <c r="C798" t="s">
        <v>178</v>
      </c>
      <c r="D798" s="6">
        <v>26</v>
      </c>
    </row>
    <row r="801" spans="2:5" ht="28.8" x14ac:dyDescent="0.3">
      <c r="B801" s="1" t="s">
        <v>0</v>
      </c>
      <c r="C801" s="2" t="s">
        <v>1</v>
      </c>
      <c r="D801" s="2" t="s">
        <v>2</v>
      </c>
      <c r="E801" s="2" t="s">
        <v>3</v>
      </c>
    </row>
    <row r="802" spans="2:5" x14ac:dyDescent="0.3">
      <c r="B802" s="3" t="s">
        <v>4</v>
      </c>
      <c r="C802" s="1">
        <f>12367.62+1803.94</f>
        <v>14171.560000000001</v>
      </c>
      <c r="D802" s="1">
        <f>10799.41+1803.94</f>
        <v>12603.35</v>
      </c>
      <c r="E802" s="1">
        <v>2811.69</v>
      </c>
    </row>
    <row r="803" spans="2:5" x14ac:dyDescent="0.3">
      <c r="B803" s="49" t="s">
        <v>10</v>
      </c>
      <c r="C803" s="50"/>
      <c r="D803" s="51"/>
      <c r="E803" s="1">
        <f>C802-E802</f>
        <v>11359.87</v>
      </c>
    </row>
    <row r="805" spans="2:5" ht="28.8" x14ac:dyDescent="0.3">
      <c r="B805" s="60" t="s">
        <v>37</v>
      </c>
      <c r="C805" s="51"/>
      <c r="D805" s="21" t="s">
        <v>41</v>
      </c>
      <c r="E805" s="3"/>
    </row>
    <row r="806" spans="2:5" x14ac:dyDescent="0.3">
      <c r="B806" s="60" t="s">
        <v>38</v>
      </c>
      <c r="C806" s="51"/>
      <c r="D806" s="1">
        <v>0</v>
      </c>
      <c r="E806" s="1"/>
    </row>
    <row r="807" spans="2:5" x14ac:dyDescent="0.3">
      <c r="B807" s="52"/>
      <c r="C807" s="51"/>
      <c r="D807" s="1">
        <v>0</v>
      </c>
      <c r="E807" s="1"/>
    </row>
    <row r="808" spans="2:5" x14ac:dyDescent="0.3">
      <c r="B808" s="52"/>
      <c r="C808" s="51"/>
      <c r="D808" s="1">
        <v>0</v>
      </c>
      <c r="E808" s="1"/>
    </row>
    <row r="809" spans="2:5" x14ac:dyDescent="0.3">
      <c r="B809" s="60" t="s">
        <v>40</v>
      </c>
      <c r="C809" s="51"/>
      <c r="D809" s="1">
        <v>0</v>
      </c>
      <c r="E809" s="1"/>
    </row>
    <row r="810" spans="2:5" x14ac:dyDescent="0.3">
      <c r="B810" s="52"/>
      <c r="C810" s="51"/>
      <c r="D810" s="1">
        <v>0</v>
      </c>
      <c r="E810" s="1"/>
    </row>
    <row r="811" spans="2:5" x14ac:dyDescent="0.3">
      <c r="B811" s="52"/>
      <c r="C811" s="51"/>
      <c r="D811" s="1">
        <v>0</v>
      </c>
      <c r="E811" s="1"/>
    </row>
    <row r="812" spans="2:5" x14ac:dyDescent="0.3">
      <c r="B812" s="61" t="s">
        <v>47</v>
      </c>
      <c r="C812" s="51"/>
      <c r="D812" s="1">
        <v>0</v>
      </c>
      <c r="E812" s="1"/>
    </row>
    <row r="813" spans="2:5" x14ac:dyDescent="0.3">
      <c r="B813" s="52"/>
      <c r="C813" s="51"/>
      <c r="D813" s="1">
        <v>0</v>
      </c>
      <c r="E813" s="1"/>
    </row>
    <row r="814" spans="2:5" x14ac:dyDescent="0.3">
      <c r="B814" s="52"/>
      <c r="C814" s="51"/>
      <c r="D814" s="1"/>
      <c r="E814" s="1"/>
    </row>
    <row r="815" spans="2:5" x14ac:dyDescent="0.3">
      <c r="B815" s="52"/>
      <c r="C815" s="51"/>
      <c r="D815" s="1">
        <v>0</v>
      </c>
      <c r="E815" s="1"/>
    </row>
    <row r="816" spans="2:5" x14ac:dyDescent="0.3">
      <c r="B816" s="56" t="s">
        <v>52</v>
      </c>
      <c r="C816" s="57"/>
      <c r="D816" s="1">
        <v>0</v>
      </c>
      <c r="E816" s="1"/>
    </row>
    <row r="817" spans="2:5" x14ac:dyDescent="0.3">
      <c r="B817" s="52" t="s">
        <v>53</v>
      </c>
      <c r="C817" s="51"/>
      <c r="D817" s="1"/>
      <c r="E817" s="1"/>
    </row>
    <row r="818" spans="2:5" ht="15.6" x14ac:dyDescent="0.3">
      <c r="B818" s="52" t="s">
        <v>416</v>
      </c>
      <c r="C818" s="51"/>
      <c r="D818" s="34">
        <f>5623.38/2</f>
        <v>2811.69</v>
      </c>
      <c r="E818" s="1"/>
    </row>
    <row r="819" spans="2:5" x14ac:dyDescent="0.3">
      <c r="B819" s="59" t="s">
        <v>42</v>
      </c>
      <c r="C819" s="51"/>
      <c r="D819" s="3">
        <f>SUM(D806:D818)</f>
        <v>2811.69</v>
      </c>
      <c r="E819" s="1"/>
    </row>
    <row r="820" spans="2:5" x14ac:dyDescent="0.3">
      <c r="B820" s="14"/>
      <c r="C820" s="14"/>
      <c r="D820" s="14"/>
      <c r="E820" s="14"/>
    </row>
    <row r="821" spans="2:5" x14ac:dyDescent="0.3">
      <c r="B821" t="s">
        <v>11</v>
      </c>
    </row>
    <row r="822" spans="2:5" x14ac:dyDescent="0.3">
      <c r="B822" t="s">
        <v>12</v>
      </c>
      <c r="C822" t="s">
        <v>13</v>
      </c>
    </row>
    <row r="827" spans="2:5" ht="15.6" x14ac:dyDescent="0.3">
      <c r="C827" s="4" t="s">
        <v>6</v>
      </c>
      <c r="D827" s="4"/>
    </row>
    <row r="828" spans="2:5" x14ac:dyDescent="0.3">
      <c r="B828" s="5" t="s">
        <v>7</v>
      </c>
      <c r="C828" s="5"/>
      <c r="D828" s="5"/>
      <c r="E828" s="5"/>
    </row>
    <row r="829" spans="2:5" x14ac:dyDescent="0.3">
      <c r="B829" s="5"/>
      <c r="C829" s="5" t="s">
        <v>30</v>
      </c>
      <c r="D829" s="5"/>
      <c r="E829" s="5"/>
    </row>
    <row r="830" spans="2:5" x14ac:dyDescent="0.3">
      <c r="B830" t="s">
        <v>163</v>
      </c>
      <c r="C830" t="s">
        <v>178</v>
      </c>
      <c r="D830" s="6">
        <v>28</v>
      </c>
    </row>
    <row r="833" spans="2:5" ht="28.8" x14ac:dyDescent="0.3">
      <c r="B833" s="1" t="s">
        <v>0</v>
      </c>
      <c r="C833" s="2" t="s">
        <v>1</v>
      </c>
      <c r="D833" s="2" t="s">
        <v>2</v>
      </c>
      <c r="E833" s="2" t="s">
        <v>3</v>
      </c>
    </row>
    <row r="834" spans="2:5" x14ac:dyDescent="0.3">
      <c r="B834" s="3" t="s">
        <v>4</v>
      </c>
      <c r="C834" s="1">
        <v>14593.2</v>
      </c>
      <c r="D834" s="1">
        <v>13630.02</v>
      </c>
      <c r="E834" s="1">
        <v>23809.759999999998</v>
      </c>
    </row>
    <row r="835" spans="2:5" x14ac:dyDescent="0.3">
      <c r="B835" s="49" t="s">
        <v>10</v>
      </c>
      <c r="C835" s="50"/>
      <c r="D835" s="51"/>
      <c r="E835" s="1">
        <f>C834-E834</f>
        <v>-9216.5599999999977</v>
      </c>
    </row>
    <row r="837" spans="2:5" ht="28.8" x14ac:dyDescent="0.3">
      <c r="B837" s="60" t="s">
        <v>37</v>
      </c>
      <c r="C837" s="51"/>
      <c r="D837" s="21" t="s">
        <v>41</v>
      </c>
      <c r="E837" s="3"/>
    </row>
    <row r="838" spans="2:5" x14ac:dyDescent="0.3">
      <c r="B838" s="60" t="s">
        <v>38</v>
      </c>
      <c r="C838" s="51"/>
      <c r="D838" s="1">
        <v>0</v>
      </c>
      <c r="E838" s="1"/>
    </row>
    <row r="839" spans="2:5" x14ac:dyDescent="0.3">
      <c r="B839" s="52"/>
      <c r="C839" s="51"/>
      <c r="D839" s="1">
        <v>0</v>
      </c>
      <c r="E839" s="1"/>
    </row>
    <row r="840" spans="2:5" x14ac:dyDescent="0.3">
      <c r="B840" s="52"/>
      <c r="C840" s="51"/>
      <c r="D840" s="1">
        <v>0</v>
      </c>
      <c r="E840" s="1"/>
    </row>
    <row r="841" spans="2:5" x14ac:dyDescent="0.3">
      <c r="B841" s="60" t="s">
        <v>40</v>
      </c>
      <c r="C841" s="51"/>
      <c r="D841" s="1">
        <v>0</v>
      </c>
      <c r="E841" s="1"/>
    </row>
    <row r="842" spans="2:5" x14ac:dyDescent="0.3">
      <c r="B842" s="52"/>
      <c r="C842" s="51"/>
      <c r="D842" s="1">
        <v>0</v>
      </c>
      <c r="E842" s="1"/>
    </row>
    <row r="843" spans="2:5" x14ac:dyDescent="0.3">
      <c r="B843" s="52"/>
      <c r="C843" s="51"/>
      <c r="D843" s="1">
        <v>0</v>
      </c>
      <c r="E843" s="1"/>
    </row>
    <row r="844" spans="2:5" x14ac:dyDescent="0.3">
      <c r="B844" s="61" t="s">
        <v>47</v>
      </c>
      <c r="C844" s="51"/>
      <c r="D844" s="1">
        <v>0</v>
      </c>
      <c r="E844" s="1"/>
    </row>
    <row r="845" spans="2:5" x14ac:dyDescent="0.3">
      <c r="B845" s="52"/>
      <c r="C845" s="51"/>
      <c r="D845" s="1">
        <v>0</v>
      </c>
      <c r="E845" s="1"/>
    </row>
    <row r="846" spans="2:5" x14ac:dyDescent="0.3">
      <c r="B846" s="52"/>
      <c r="C846" s="51"/>
      <c r="D846" s="1"/>
      <c r="E846" s="1"/>
    </row>
    <row r="847" spans="2:5" x14ac:dyDescent="0.3">
      <c r="B847" s="52"/>
      <c r="C847" s="51"/>
      <c r="D847" s="1">
        <v>0</v>
      </c>
      <c r="E847" s="1"/>
    </row>
    <row r="848" spans="2:5" x14ac:dyDescent="0.3">
      <c r="B848" s="56" t="s">
        <v>52</v>
      </c>
      <c r="C848" s="57"/>
      <c r="D848" s="1">
        <v>0</v>
      </c>
      <c r="E848" s="1"/>
    </row>
    <row r="849" spans="2:5" ht="15.6" x14ac:dyDescent="0.3">
      <c r="B849" s="52" t="s">
        <v>53</v>
      </c>
      <c r="C849" s="51"/>
      <c r="D849" s="34">
        <v>282.12</v>
      </c>
      <c r="E849" s="1"/>
    </row>
    <row r="850" spans="2:5" x14ac:dyDescent="0.3">
      <c r="B850" s="52" t="s">
        <v>196</v>
      </c>
      <c r="C850" s="51"/>
      <c r="D850" s="1">
        <f>5233.39+2811.69+9859.18+5623.38</f>
        <v>23527.640000000003</v>
      </c>
      <c r="E850" s="1"/>
    </row>
    <row r="851" spans="2:5" x14ac:dyDescent="0.3">
      <c r="B851" s="59" t="s">
        <v>42</v>
      </c>
      <c r="C851" s="51"/>
      <c r="D851" s="3">
        <f>SUM(D838:D850)</f>
        <v>23809.760000000002</v>
      </c>
      <c r="E851" s="1"/>
    </row>
    <row r="852" spans="2:5" x14ac:dyDescent="0.3">
      <c r="B852" s="14"/>
      <c r="C852" s="14"/>
      <c r="D852" s="14"/>
      <c r="E852" s="14"/>
    </row>
    <row r="853" spans="2:5" x14ac:dyDescent="0.3">
      <c r="B853" t="s">
        <v>11</v>
      </c>
    </row>
    <row r="854" spans="2:5" x14ac:dyDescent="0.3">
      <c r="B854" t="s">
        <v>12</v>
      </c>
      <c r="C854" t="s">
        <v>13</v>
      </c>
    </row>
    <row r="858" spans="2:5" ht="15.6" x14ac:dyDescent="0.3">
      <c r="C858" s="4" t="s">
        <v>6</v>
      </c>
      <c r="D858" s="4"/>
    </row>
    <row r="859" spans="2:5" x14ac:dyDescent="0.3">
      <c r="B859" s="5" t="s">
        <v>7</v>
      </c>
      <c r="C859" s="5"/>
      <c r="D859" s="5"/>
      <c r="E859" s="5"/>
    </row>
    <row r="860" spans="2:5" x14ac:dyDescent="0.3">
      <c r="B860" s="5"/>
      <c r="C860" s="5" t="s">
        <v>30</v>
      </c>
      <c r="D860" s="5"/>
      <c r="E860" s="5"/>
    </row>
    <row r="861" spans="2:5" x14ac:dyDescent="0.3">
      <c r="B861" t="s">
        <v>163</v>
      </c>
      <c r="C861" t="s">
        <v>178</v>
      </c>
      <c r="D861" s="6">
        <v>30</v>
      </c>
    </row>
    <row r="864" spans="2:5" ht="28.8" x14ac:dyDescent="0.3">
      <c r="B864" s="1" t="s">
        <v>0</v>
      </c>
      <c r="C864" s="2" t="s">
        <v>1</v>
      </c>
      <c r="D864" s="2" t="s">
        <v>2</v>
      </c>
      <c r="E864" s="2" t="s">
        <v>3</v>
      </c>
    </row>
    <row r="865" spans="2:5" x14ac:dyDescent="0.3">
      <c r="B865" s="3" t="s">
        <v>4</v>
      </c>
      <c r="C865" s="1">
        <v>167486.16</v>
      </c>
      <c r="D865" s="1">
        <v>141542.6</v>
      </c>
      <c r="E865" s="1">
        <v>101679.51</v>
      </c>
    </row>
    <row r="866" spans="2:5" x14ac:dyDescent="0.3">
      <c r="B866" s="49" t="s">
        <v>10</v>
      </c>
      <c r="C866" s="50"/>
      <c r="D866" s="51"/>
      <c r="E866" s="1">
        <f>C865-E865</f>
        <v>65806.650000000009</v>
      </c>
    </row>
    <row r="868" spans="2:5" ht="28.8" x14ac:dyDescent="0.3">
      <c r="B868" s="60" t="s">
        <v>37</v>
      </c>
      <c r="C868" s="51"/>
      <c r="D868" s="21" t="s">
        <v>41</v>
      </c>
      <c r="E868" s="3"/>
    </row>
    <row r="869" spans="2:5" x14ac:dyDescent="0.3">
      <c r="B869" s="60" t="s">
        <v>38</v>
      </c>
      <c r="C869" s="51"/>
      <c r="D869" s="1">
        <v>0</v>
      </c>
      <c r="E869" s="1"/>
    </row>
    <row r="870" spans="2:5" x14ac:dyDescent="0.3">
      <c r="B870" s="52" t="s">
        <v>417</v>
      </c>
      <c r="C870" s="51"/>
      <c r="D870" s="1">
        <f>390.78+19098.97</f>
        <v>19489.75</v>
      </c>
      <c r="E870" s="1"/>
    </row>
    <row r="871" spans="2:5" x14ac:dyDescent="0.3">
      <c r="B871" s="52"/>
      <c r="C871" s="51"/>
      <c r="D871" s="1">
        <v>0</v>
      </c>
      <c r="E871" s="1"/>
    </row>
    <row r="872" spans="2:5" x14ac:dyDescent="0.3">
      <c r="B872" s="60" t="s">
        <v>40</v>
      </c>
      <c r="C872" s="51"/>
      <c r="D872" s="1">
        <v>0</v>
      </c>
      <c r="E872" s="1"/>
    </row>
    <row r="873" spans="2:5" x14ac:dyDescent="0.3">
      <c r="B873" s="52" t="s">
        <v>244</v>
      </c>
      <c r="C873" s="51"/>
      <c r="D873" s="27">
        <v>2593.5700000000002</v>
      </c>
      <c r="E873" s="1"/>
    </row>
    <row r="874" spans="2:5" ht="15.6" x14ac:dyDescent="0.3">
      <c r="B874" s="52" t="s">
        <v>291</v>
      </c>
      <c r="C874" s="51"/>
      <c r="D874" s="32">
        <v>32270.86</v>
      </c>
      <c r="E874" s="1"/>
    </row>
    <row r="875" spans="2:5" x14ac:dyDescent="0.3">
      <c r="B875" s="61" t="s">
        <v>47</v>
      </c>
      <c r="C875" s="51"/>
      <c r="D875" s="1">
        <v>0</v>
      </c>
      <c r="E875" s="1"/>
    </row>
    <row r="876" spans="2:5" ht="15.6" x14ac:dyDescent="0.3">
      <c r="B876" s="52" t="s">
        <v>304</v>
      </c>
      <c r="C876" s="51"/>
      <c r="D876" s="34">
        <f>3002.23+944.99</f>
        <v>3947.2200000000003</v>
      </c>
      <c r="E876" s="1"/>
    </row>
    <row r="877" spans="2:5" ht="15.6" x14ac:dyDescent="0.3">
      <c r="B877" s="52" t="s">
        <v>229</v>
      </c>
      <c r="C877" s="51"/>
      <c r="D877" s="32">
        <v>323.88</v>
      </c>
      <c r="E877" s="1"/>
    </row>
    <row r="878" spans="2:5" x14ac:dyDescent="0.3">
      <c r="B878" s="52"/>
      <c r="C878" s="51"/>
      <c r="D878" s="1">
        <v>0</v>
      </c>
      <c r="E878" s="1"/>
    </row>
    <row r="879" spans="2:5" x14ac:dyDescent="0.3">
      <c r="B879" s="56" t="s">
        <v>52</v>
      </c>
      <c r="C879" s="57"/>
      <c r="D879" s="1">
        <v>0</v>
      </c>
      <c r="E879" s="1"/>
    </row>
    <row r="880" spans="2:5" ht="15.6" x14ac:dyDescent="0.3">
      <c r="B880" s="52" t="s">
        <v>53</v>
      </c>
      <c r="C880" s="51"/>
      <c r="D880" s="34">
        <f>7053+5642.4</f>
        <v>12695.4</v>
      </c>
      <c r="E880" s="1"/>
    </row>
    <row r="881" spans="2:5" ht="15.6" x14ac:dyDescent="0.3">
      <c r="B881" s="52" t="s">
        <v>270</v>
      </c>
      <c r="C881" s="51"/>
      <c r="D881" s="34">
        <v>5828.46</v>
      </c>
      <c r="E881" s="1"/>
    </row>
    <row r="882" spans="2:5" ht="15.6" x14ac:dyDescent="0.3">
      <c r="B882" s="52" t="s">
        <v>363</v>
      </c>
      <c r="C882" s="51"/>
      <c r="D882" s="34">
        <f>3367.53+4513.62</f>
        <v>7881.15</v>
      </c>
      <c r="E882" s="1"/>
    </row>
    <row r="883" spans="2:5" ht="15.6" x14ac:dyDescent="0.3">
      <c r="B883" s="52" t="s">
        <v>224</v>
      </c>
      <c r="C883" s="51"/>
      <c r="D883" s="34">
        <f>1587.07+5125.05+9937.1</f>
        <v>16649.22</v>
      </c>
      <c r="E883" s="1"/>
    </row>
    <row r="884" spans="2:5" ht="15.6" x14ac:dyDescent="0.3">
      <c r="B884" s="52"/>
      <c r="C884" s="51"/>
      <c r="D884" s="34"/>
      <c r="E884" s="1"/>
    </row>
    <row r="885" spans="2:5" x14ac:dyDescent="0.3">
      <c r="B885" s="59" t="s">
        <v>42</v>
      </c>
      <c r="C885" s="51"/>
      <c r="D885" s="3">
        <f>SUM(D869:D883)</f>
        <v>101679.51</v>
      </c>
      <c r="E885" s="1"/>
    </row>
    <row r="886" spans="2:5" x14ac:dyDescent="0.3">
      <c r="B886" s="14"/>
      <c r="C886" s="14"/>
      <c r="D886" s="14"/>
      <c r="E886" s="14"/>
    </row>
    <row r="887" spans="2:5" x14ac:dyDescent="0.3">
      <c r="B887" t="s">
        <v>11</v>
      </c>
    </row>
    <row r="888" spans="2:5" x14ac:dyDescent="0.3">
      <c r="B888" t="s">
        <v>12</v>
      </c>
      <c r="C888" t="s">
        <v>13</v>
      </c>
    </row>
    <row r="894" spans="2:5" ht="15.6" x14ac:dyDescent="0.3">
      <c r="C894" s="4" t="s">
        <v>6</v>
      </c>
      <c r="D894" s="4"/>
    </row>
    <row r="895" spans="2:5" x14ac:dyDescent="0.3">
      <c r="B895" s="5" t="s">
        <v>7</v>
      </c>
      <c r="C895" s="5"/>
      <c r="D895" s="5"/>
      <c r="E895" s="5"/>
    </row>
    <row r="896" spans="2:5" x14ac:dyDescent="0.3">
      <c r="B896" s="5"/>
      <c r="C896" s="5" t="s">
        <v>30</v>
      </c>
      <c r="D896" s="5"/>
      <c r="E896" s="5"/>
    </row>
    <row r="897" spans="2:5" x14ac:dyDescent="0.3">
      <c r="B897" t="s">
        <v>163</v>
      </c>
      <c r="C897" t="s">
        <v>178</v>
      </c>
      <c r="D897" s="6">
        <v>32</v>
      </c>
    </row>
    <row r="900" spans="2:5" ht="28.8" x14ac:dyDescent="0.3">
      <c r="B900" s="1" t="s">
        <v>0</v>
      </c>
      <c r="C900" s="2" t="s">
        <v>1</v>
      </c>
      <c r="D900" s="2" t="s">
        <v>2</v>
      </c>
      <c r="E900" s="2" t="s">
        <v>3</v>
      </c>
    </row>
    <row r="901" spans="2:5" x14ac:dyDescent="0.3">
      <c r="B901" s="3" t="s">
        <v>4</v>
      </c>
      <c r="C901" s="1">
        <v>181966.5</v>
      </c>
      <c r="D901" s="1">
        <v>159693.21</v>
      </c>
      <c r="E901" s="1">
        <v>88007.35</v>
      </c>
    </row>
    <row r="902" spans="2:5" x14ac:dyDescent="0.3">
      <c r="B902" s="49" t="s">
        <v>10</v>
      </c>
      <c r="C902" s="50"/>
      <c r="D902" s="51"/>
      <c r="E902" s="1">
        <f>C901-E901</f>
        <v>93959.15</v>
      </c>
    </row>
    <row r="904" spans="2:5" ht="28.8" x14ac:dyDescent="0.3">
      <c r="B904" s="60" t="s">
        <v>37</v>
      </c>
      <c r="C904" s="51"/>
      <c r="D904" s="21" t="s">
        <v>41</v>
      </c>
      <c r="E904" s="3"/>
    </row>
    <row r="905" spans="2:5" x14ac:dyDescent="0.3">
      <c r="B905" s="60" t="s">
        <v>38</v>
      </c>
      <c r="C905" s="51"/>
      <c r="D905" s="1">
        <v>0</v>
      </c>
      <c r="E905" s="1"/>
    </row>
    <row r="906" spans="2:5" x14ac:dyDescent="0.3">
      <c r="B906" s="52" t="s">
        <v>218</v>
      </c>
      <c r="C906" s="51"/>
      <c r="D906" s="1">
        <f>5619.62+193.08+670.19+4214.72</f>
        <v>10697.61</v>
      </c>
      <c r="E906" s="1"/>
    </row>
    <row r="907" spans="2:5" x14ac:dyDescent="0.3">
      <c r="B907" s="52"/>
      <c r="C907" s="51"/>
      <c r="D907" s="1">
        <v>0</v>
      </c>
      <c r="E907" s="1"/>
    </row>
    <row r="908" spans="2:5" x14ac:dyDescent="0.3">
      <c r="B908" s="60" t="s">
        <v>40</v>
      </c>
      <c r="C908" s="51"/>
      <c r="D908" s="1">
        <v>0</v>
      </c>
      <c r="E908" s="1"/>
    </row>
    <row r="909" spans="2:5" ht="15.6" x14ac:dyDescent="0.3">
      <c r="B909" s="52" t="s">
        <v>113</v>
      </c>
      <c r="C909" s="51"/>
      <c r="D909" s="36">
        <v>35560.21</v>
      </c>
      <c r="E909" s="1"/>
    </row>
    <row r="910" spans="2:5" ht="15.6" x14ac:dyDescent="0.3">
      <c r="B910" s="52" t="s">
        <v>419</v>
      </c>
      <c r="C910" s="51"/>
      <c r="D910" s="34">
        <v>947.66</v>
      </c>
      <c r="E910" s="1"/>
    </row>
    <row r="911" spans="2:5" ht="15.6" x14ac:dyDescent="0.3">
      <c r="B911" s="52" t="s">
        <v>421</v>
      </c>
      <c r="C911" s="51"/>
      <c r="D911" s="35">
        <v>13938.76</v>
      </c>
      <c r="E911" s="1"/>
    </row>
    <row r="912" spans="2:5" x14ac:dyDescent="0.3">
      <c r="B912" s="61" t="s">
        <v>47</v>
      </c>
      <c r="C912" s="57"/>
      <c r="D912" s="1">
        <v>0</v>
      </c>
      <c r="E912" s="1"/>
    </row>
    <row r="913" spans="2:5" ht="15.6" x14ac:dyDescent="0.3">
      <c r="B913" s="52" t="s">
        <v>192</v>
      </c>
      <c r="C913" s="51"/>
      <c r="D913" s="34">
        <v>705.45</v>
      </c>
      <c r="E913" s="1"/>
    </row>
    <row r="914" spans="2:5" x14ac:dyDescent="0.3">
      <c r="B914" s="52"/>
      <c r="C914" s="51"/>
      <c r="D914" s="1"/>
      <c r="E914" s="1"/>
    </row>
    <row r="915" spans="2:5" x14ac:dyDescent="0.3">
      <c r="B915" s="52"/>
      <c r="C915" s="51"/>
      <c r="D915" s="1">
        <v>0</v>
      </c>
      <c r="E915" s="1"/>
    </row>
    <row r="916" spans="2:5" x14ac:dyDescent="0.3">
      <c r="B916" s="56" t="s">
        <v>52</v>
      </c>
      <c r="C916" s="57"/>
      <c r="D916" s="1">
        <v>0</v>
      </c>
      <c r="E916" s="1"/>
    </row>
    <row r="917" spans="2:5" x14ac:dyDescent="0.3">
      <c r="B917" s="52" t="s">
        <v>53</v>
      </c>
      <c r="C917" s="51"/>
      <c r="D917" s="1"/>
      <c r="E917" s="1"/>
    </row>
    <row r="918" spans="2:5" ht="15.6" x14ac:dyDescent="0.3">
      <c r="B918" s="52" t="s">
        <v>420</v>
      </c>
      <c r="C918" s="51"/>
      <c r="D918" s="35">
        <v>26157.66</v>
      </c>
      <c r="E918" s="1"/>
    </row>
    <row r="919" spans="2:5" x14ac:dyDescent="0.3">
      <c r="B919" s="59" t="s">
        <v>42</v>
      </c>
      <c r="C919" s="51"/>
      <c r="D919" s="3">
        <f>SUM(D905:D918)</f>
        <v>88007.35</v>
      </c>
      <c r="E919" s="1"/>
    </row>
    <row r="920" spans="2:5" x14ac:dyDescent="0.3">
      <c r="B920" s="14"/>
      <c r="C920" s="14"/>
      <c r="D920" s="14"/>
      <c r="E920" s="14"/>
    </row>
    <row r="921" spans="2:5" x14ac:dyDescent="0.3">
      <c r="B921" t="s">
        <v>11</v>
      </c>
    </row>
    <row r="922" spans="2:5" x14ac:dyDescent="0.3">
      <c r="B922" t="s">
        <v>12</v>
      </c>
      <c r="C922" t="s">
        <v>13</v>
      </c>
    </row>
  </sheetData>
  <mergeCells count="468">
    <mergeCell ref="B11:D11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41:D41"/>
    <mergeCell ref="B43:C43"/>
    <mergeCell ref="B18:C18"/>
    <mergeCell ref="B19:C19"/>
    <mergeCell ref="B20:C20"/>
    <mergeCell ref="B21:C21"/>
    <mergeCell ref="B22:C22"/>
    <mergeCell ref="B23:C23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77:C77"/>
    <mergeCell ref="B78:C78"/>
    <mergeCell ref="B79:C79"/>
    <mergeCell ref="B80:C80"/>
    <mergeCell ref="B81:C81"/>
    <mergeCell ref="B82:C82"/>
    <mergeCell ref="B56:C56"/>
    <mergeCell ref="B57:C57"/>
    <mergeCell ref="B72:D72"/>
    <mergeCell ref="B74:C74"/>
    <mergeCell ref="B75:C75"/>
    <mergeCell ref="B76:C76"/>
    <mergeCell ref="B103:D103"/>
    <mergeCell ref="B105:C105"/>
    <mergeCell ref="B106:C106"/>
    <mergeCell ref="B107:C107"/>
    <mergeCell ref="B108:C108"/>
    <mergeCell ref="B109:C109"/>
    <mergeCell ref="B83:C83"/>
    <mergeCell ref="B84:C84"/>
    <mergeCell ref="B85:C85"/>
    <mergeCell ref="B86:C86"/>
    <mergeCell ref="B87:C87"/>
    <mergeCell ref="B88:C88"/>
    <mergeCell ref="B116:C116"/>
    <mergeCell ref="B117:C117"/>
    <mergeCell ref="B118:C118"/>
    <mergeCell ref="B119:C119"/>
    <mergeCell ref="B134:D134"/>
    <mergeCell ref="B136:C136"/>
    <mergeCell ref="B110:C110"/>
    <mergeCell ref="B111:C111"/>
    <mergeCell ref="B112:C112"/>
    <mergeCell ref="B113:C113"/>
    <mergeCell ref="B114:C114"/>
    <mergeCell ref="B115:C115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70:C170"/>
    <mergeCell ref="B171:C171"/>
    <mergeCell ref="B172:C172"/>
    <mergeCell ref="B173:C173"/>
    <mergeCell ref="B174:C174"/>
    <mergeCell ref="B175:C175"/>
    <mergeCell ref="B149:C149"/>
    <mergeCell ref="B150:C150"/>
    <mergeCell ref="B165:D165"/>
    <mergeCell ref="B167:C167"/>
    <mergeCell ref="B168:C168"/>
    <mergeCell ref="B169:C169"/>
    <mergeCell ref="B196:D196"/>
    <mergeCell ref="B198:C198"/>
    <mergeCell ref="B199:C199"/>
    <mergeCell ref="B200:C200"/>
    <mergeCell ref="B201:C201"/>
    <mergeCell ref="B202:C202"/>
    <mergeCell ref="B176:C176"/>
    <mergeCell ref="B177:C177"/>
    <mergeCell ref="B178:C178"/>
    <mergeCell ref="B179:C179"/>
    <mergeCell ref="B180:C180"/>
    <mergeCell ref="B181:C181"/>
    <mergeCell ref="B209:C209"/>
    <mergeCell ref="B210:C210"/>
    <mergeCell ref="B211:C211"/>
    <mergeCell ref="B212:C212"/>
    <mergeCell ref="B227:D227"/>
    <mergeCell ref="B229:C229"/>
    <mergeCell ref="B203:C203"/>
    <mergeCell ref="B204:C204"/>
    <mergeCell ref="B205:C205"/>
    <mergeCell ref="B206:C206"/>
    <mergeCell ref="B207:C207"/>
    <mergeCell ref="B208:C208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63:C263"/>
    <mergeCell ref="B264:C264"/>
    <mergeCell ref="B265:C265"/>
    <mergeCell ref="B266:C266"/>
    <mergeCell ref="B267:C267"/>
    <mergeCell ref="B268:C268"/>
    <mergeCell ref="B242:C242"/>
    <mergeCell ref="B243:C243"/>
    <mergeCell ref="B258:D258"/>
    <mergeCell ref="B260:C260"/>
    <mergeCell ref="B261:C261"/>
    <mergeCell ref="B262:C262"/>
    <mergeCell ref="B290:D290"/>
    <mergeCell ref="B292:C292"/>
    <mergeCell ref="B293:C293"/>
    <mergeCell ref="B294:C294"/>
    <mergeCell ref="B295:C295"/>
    <mergeCell ref="B296:C296"/>
    <mergeCell ref="B269:C269"/>
    <mergeCell ref="B270:C270"/>
    <mergeCell ref="B271:C271"/>
    <mergeCell ref="B272:C272"/>
    <mergeCell ref="B273:C273"/>
    <mergeCell ref="B274:C274"/>
    <mergeCell ref="B303:C303"/>
    <mergeCell ref="B304:C304"/>
    <mergeCell ref="B305:C305"/>
    <mergeCell ref="B306:C306"/>
    <mergeCell ref="B321:D321"/>
    <mergeCell ref="B323:C323"/>
    <mergeCell ref="B297:C297"/>
    <mergeCell ref="B298:C298"/>
    <mergeCell ref="B299:C299"/>
    <mergeCell ref="B300:C300"/>
    <mergeCell ref="B301:C301"/>
    <mergeCell ref="B302:C302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57:C357"/>
    <mergeCell ref="B358:C358"/>
    <mergeCell ref="B359:C359"/>
    <mergeCell ref="B360:C360"/>
    <mergeCell ref="B361:C361"/>
    <mergeCell ref="B362:C362"/>
    <mergeCell ref="B336:C336"/>
    <mergeCell ref="B337:C337"/>
    <mergeCell ref="B352:D352"/>
    <mergeCell ref="B354:C354"/>
    <mergeCell ref="B355:C355"/>
    <mergeCell ref="B356:C356"/>
    <mergeCell ref="B383:D383"/>
    <mergeCell ref="B385:C385"/>
    <mergeCell ref="B386:C386"/>
    <mergeCell ref="B387:C387"/>
    <mergeCell ref="B388:C388"/>
    <mergeCell ref="B389:C389"/>
    <mergeCell ref="B363:C363"/>
    <mergeCell ref="B364:C364"/>
    <mergeCell ref="B365:C365"/>
    <mergeCell ref="B366:C366"/>
    <mergeCell ref="B367:C367"/>
    <mergeCell ref="B368:C368"/>
    <mergeCell ref="B396:C396"/>
    <mergeCell ref="B397:C397"/>
    <mergeCell ref="B398:C398"/>
    <mergeCell ref="B399:C399"/>
    <mergeCell ref="B414:D414"/>
    <mergeCell ref="B416:C416"/>
    <mergeCell ref="B390:C390"/>
    <mergeCell ref="B391:C391"/>
    <mergeCell ref="B392:C392"/>
    <mergeCell ref="B393:C393"/>
    <mergeCell ref="B394:C394"/>
    <mergeCell ref="B395:C395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50:C450"/>
    <mergeCell ref="B451:C451"/>
    <mergeCell ref="B452:C452"/>
    <mergeCell ref="B453:C453"/>
    <mergeCell ref="B454:C454"/>
    <mergeCell ref="B455:C455"/>
    <mergeCell ref="B429:C429"/>
    <mergeCell ref="B430:C430"/>
    <mergeCell ref="B445:D445"/>
    <mergeCell ref="B447:C447"/>
    <mergeCell ref="B448:C448"/>
    <mergeCell ref="B449:C449"/>
    <mergeCell ref="B476:D476"/>
    <mergeCell ref="B478:C478"/>
    <mergeCell ref="B479:C479"/>
    <mergeCell ref="B480:C480"/>
    <mergeCell ref="B481:C481"/>
    <mergeCell ref="B482:C482"/>
    <mergeCell ref="B456:C456"/>
    <mergeCell ref="B457:C457"/>
    <mergeCell ref="B458:C458"/>
    <mergeCell ref="B459:C459"/>
    <mergeCell ref="B460:C460"/>
    <mergeCell ref="B461:C461"/>
    <mergeCell ref="B489:C489"/>
    <mergeCell ref="B490:C490"/>
    <mergeCell ref="B491:C491"/>
    <mergeCell ref="B492:C492"/>
    <mergeCell ref="B507:D507"/>
    <mergeCell ref="B509:C509"/>
    <mergeCell ref="B483:C483"/>
    <mergeCell ref="B484:C484"/>
    <mergeCell ref="B485:C485"/>
    <mergeCell ref="B486:C486"/>
    <mergeCell ref="B487:C487"/>
    <mergeCell ref="B488:C488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43:C543"/>
    <mergeCell ref="B544:C544"/>
    <mergeCell ref="B545:C545"/>
    <mergeCell ref="B546:C546"/>
    <mergeCell ref="B547:C547"/>
    <mergeCell ref="B548:C548"/>
    <mergeCell ref="B522:C522"/>
    <mergeCell ref="B523:C523"/>
    <mergeCell ref="B538:D538"/>
    <mergeCell ref="B540:C540"/>
    <mergeCell ref="B541:C541"/>
    <mergeCell ref="B542:C542"/>
    <mergeCell ref="B571:D571"/>
    <mergeCell ref="B573:C573"/>
    <mergeCell ref="B574:C574"/>
    <mergeCell ref="B575:C575"/>
    <mergeCell ref="B576:C576"/>
    <mergeCell ref="B577:C577"/>
    <mergeCell ref="B549:C549"/>
    <mergeCell ref="B550:C550"/>
    <mergeCell ref="B551:C551"/>
    <mergeCell ref="B552:C552"/>
    <mergeCell ref="B553:C553"/>
    <mergeCell ref="B554:C554"/>
    <mergeCell ref="B584:C584"/>
    <mergeCell ref="B585:C585"/>
    <mergeCell ref="B586:C586"/>
    <mergeCell ref="B587:C587"/>
    <mergeCell ref="B604:D604"/>
    <mergeCell ref="B606:C606"/>
    <mergeCell ref="B578:C578"/>
    <mergeCell ref="B579:C579"/>
    <mergeCell ref="B580:C580"/>
    <mergeCell ref="B581:C581"/>
    <mergeCell ref="B582:C582"/>
    <mergeCell ref="B583:C583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42:C642"/>
    <mergeCell ref="B643:C643"/>
    <mergeCell ref="B644:C644"/>
    <mergeCell ref="B645:C645"/>
    <mergeCell ref="B646:C646"/>
    <mergeCell ref="B647:C647"/>
    <mergeCell ref="B619:C619"/>
    <mergeCell ref="B620:C620"/>
    <mergeCell ref="B637:D637"/>
    <mergeCell ref="B639:C639"/>
    <mergeCell ref="B640:C640"/>
    <mergeCell ref="B641:C641"/>
    <mergeCell ref="B671:D671"/>
    <mergeCell ref="B673:C673"/>
    <mergeCell ref="B674:C674"/>
    <mergeCell ref="B675:C675"/>
    <mergeCell ref="B676:C676"/>
    <mergeCell ref="B677:C677"/>
    <mergeCell ref="B648:C648"/>
    <mergeCell ref="B649:C649"/>
    <mergeCell ref="B650:C650"/>
    <mergeCell ref="B651:C651"/>
    <mergeCell ref="B652:C652"/>
    <mergeCell ref="B653:C653"/>
    <mergeCell ref="B684:C684"/>
    <mergeCell ref="B685:C685"/>
    <mergeCell ref="B686:C686"/>
    <mergeCell ref="B687:C687"/>
    <mergeCell ref="B704:D704"/>
    <mergeCell ref="B706:C706"/>
    <mergeCell ref="B678:C678"/>
    <mergeCell ref="B679:C679"/>
    <mergeCell ref="B680:C680"/>
    <mergeCell ref="B681:C681"/>
    <mergeCell ref="B682:C682"/>
    <mergeCell ref="B683:C683"/>
    <mergeCell ref="B713:C713"/>
    <mergeCell ref="B714:C714"/>
    <mergeCell ref="B715:C715"/>
    <mergeCell ref="B716:C716"/>
    <mergeCell ref="B717:C717"/>
    <mergeCell ref="B718:C718"/>
    <mergeCell ref="B707:C707"/>
    <mergeCell ref="B708:C708"/>
    <mergeCell ref="B709:C709"/>
    <mergeCell ref="B710:C710"/>
    <mergeCell ref="B711:C711"/>
    <mergeCell ref="B712:C712"/>
    <mergeCell ref="B743:C743"/>
    <mergeCell ref="B744:C744"/>
    <mergeCell ref="B745:C745"/>
    <mergeCell ref="B746:C746"/>
    <mergeCell ref="B747:C747"/>
    <mergeCell ref="B748:C748"/>
    <mergeCell ref="B719:C719"/>
    <mergeCell ref="B720:C720"/>
    <mergeCell ref="B738:D738"/>
    <mergeCell ref="B740:C740"/>
    <mergeCell ref="B741:C741"/>
    <mergeCell ref="B742:C742"/>
    <mergeCell ref="B772:D772"/>
    <mergeCell ref="B774:C774"/>
    <mergeCell ref="B775:C775"/>
    <mergeCell ref="B776:C776"/>
    <mergeCell ref="B777:C777"/>
    <mergeCell ref="B778:C778"/>
    <mergeCell ref="B749:C749"/>
    <mergeCell ref="B750:C750"/>
    <mergeCell ref="B751:C751"/>
    <mergeCell ref="B752:C752"/>
    <mergeCell ref="B753:C753"/>
    <mergeCell ref="B754:C754"/>
    <mergeCell ref="B785:C785"/>
    <mergeCell ref="B786:C786"/>
    <mergeCell ref="B787:C787"/>
    <mergeCell ref="B788:C788"/>
    <mergeCell ref="B803:D803"/>
    <mergeCell ref="B805:C805"/>
    <mergeCell ref="B779:C779"/>
    <mergeCell ref="B780:C780"/>
    <mergeCell ref="B781:C781"/>
    <mergeCell ref="B782:C782"/>
    <mergeCell ref="B783:C783"/>
    <mergeCell ref="B784:C784"/>
    <mergeCell ref="B812:C812"/>
    <mergeCell ref="B813:C813"/>
    <mergeCell ref="B814:C814"/>
    <mergeCell ref="B815:C815"/>
    <mergeCell ref="B816:C816"/>
    <mergeCell ref="B817:C817"/>
    <mergeCell ref="B806:C806"/>
    <mergeCell ref="B807:C807"/>
    <mergeCell ref="B808:C808"/>
    <mergeCell ref="B809:C809"/>
    <mergeCell ref="B810:C810"/>
    <mergeCell ref="B811:C811"/>
    <mergeCell ref="B840:C840"/>
    <mergeCell ref="B841:C841"/>
    <mergeCell ref="B842:C842"/>
    <mergeCell ref="B843:C843"/>
    <mergeCell ref="B844:C844"/>
    <mergeCell ref="B845:C845"/>
    <mergeCell ref="B818:C818"/>
    <mergeCell ref="B819:C819"/>
    <mergeCell ref="B835:D835"/>
    <mergeCell ref="B837:C837"/>
    <mergeCell ref="B838:C838"/>
    <mergeCell ref="B839:C839"/>
    <mergeCell ref="B866:D866"/>
    <mergeCell ref="B868:C868"/>
    <mergeCell ref="B869:C869"/>
    <mergeCell ref="B870:C870"/>
    <mergeCell ref="B871:C871"/>
    <mergeCell ref="B872:C872"/>
    <mergeCell ref="B846:C846"/>
    <mergeCell ref="B847:C847"/>
    <mergeCell ref="B848:C848"/>
    <mergeCell ref="B849:C849"/>
    <mergeCell ref="B850:C850"/>
    <mergeCell ref="B851:C851"/>
    <mergeCell ref="B879:C879"/>
    <mergeCell ref="B880:C880"/>
    <mergeCell ref="B881:C881"/>
    <mergeCell ref="B885:C885"/>
    <mergeCell ref="B902:D902"/>
    <mergeCell ref="B904:C904"/>
    <mergeCell ref="B873:C873"/>
    <mergeCell ref="B874:C874"/>
    <mergeCell ref="B875:C875"/>
    <mergeCell ref="B876:C876"/>
    <mergeCell ref="B877:C877"/>
    <mergeCell ref="B878:C878"/>
    <mergeCell ref="B882:C882"/>
    <mergeCell ref="B883:C883"/>
    <mergeCell ref="B884:C884"/>
    <mergeCell ref="B918:C918"/>
    <mergeCell ref="B919:C919"/>
    <mergeCell ref="B912:C912"/>
    <mergeCell ref="B913:C913"/>
    <mergeCell ref="B914:C914"/>
    <mergeCell ref="B915:C915"/>
    <mergeCell ref="B916:C916"/>
    <mergeCell ref="B917:C917"/>
    <mergeCell ref="B905:C905"/>
    <mergeCell ref="B906:C906"/>
    <mergeCell ref="B907:C907"/>
    <mergeCell ref="B908:C908"/>
    <mergeCell ref="B909:C909"/>
    <mergeCell ref="B910:C910"/>
    <mergeCell ref="B911:C9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53"/>
  <sheetViews>
    <sheetView topLeftCell="A445" workbookViewId="0">
      <selection activeCell="F447" sqref="F447"/>
    </sheetView>
  </sheetViews>
  <sheetFormatPr defaultRowHeight="14.4" x14ac:dyDescent="0.3"/>
  <cols>
    <col min="2" max="2" width="28.21875" customWidth="1"/>
    <col min="3" max="3" width="16" customWidth="1"/>
    <col min="4" max="4" width="12.6640625" customWidth="1"/>
    <col min="5" max="5" width="11.44140625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180</v>
      </c>
      <c r="D6" s="6">
        <v>1</v>
      </c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f>132511.92+14853.06</f>
        <v>147364.98000000001</v>
      </c>
      <c r="D10" s="1">
        <f>109432.8+14853.06</f>
        <v>124285.86</v>
      </c>
      <c r="E10" s="1">
        <v>14590.78</v>
      </c>
    </row>
    <row r="11" spans="2:5" x14ac:dyDescent="0.3">
      <c r="B11" s="49" t="s">
        <v>10</v>
      </c>
      <c r="C11" s="50"/>
      <c r="D11" s="51"/>
      <c r="E11" s="1">
        <f>C10-E10</f>
        <v>132774.20000000001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x14ac:dyDescent="0.3">
      <c r="B15" s="52" t="s">
        <v>425</v>
      </c>
      <c r="C15" s="51"/>
      <c r="D15" s="33">
        <v>5213.67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60" t="s">
        <v>40</v>
      </c>
      <c r="C17" s="51"/>
      <c r="D17" s="1">
        <v>0</v>
      </c>
      <c r="E17" s="1"/>
    </row>
    <row r="18" spans="2:5" x14ac:dyDescent="0.3">
      <c r="B18" s="52" t="s">
        <v>195</v>
      </c>
      <c r="C18" s="51"/>
      <c r="D18" s="33">
        <v>566.76</v>
      </c>
      <c r="E18" s="1"/>
    </row>
    <row r="19" spans="2:5" ht="15.6" x14ac:dyDescent="0.3">
      <c r="B19" s="52" t="s">
        <v>43</v>
      </c>
      <c r="C19" s="51"/>
      <c r="D19" s="32">
        <v>1133.97</v>
      </c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ht="15.6" x14ac:dyDescent="0.3">
      <c r="B21" s="52" t="s">
        <v>424</v>
      </c>
      <c r="C21" s="51"/>
      <c r="D21" s="34">
        <v>996.54</v>
      </c>
      <c r="E21" s="1"/>
    </row>
    <row r="22" spans="2:5" x14ac:dyDescent="0.3">
      <c r="B22" s="52"/>
      <c r="C22" s="51"/>
      <c r="D22" s="1"/>
      <c r="E22" s="1"/>
    </row>
    <row r="23" spans="2:5" x14ac:dyDescent="0.3">
      <c r="B23" s="52"/>
      <c r="C23" s="51"/>
      <c r="D23" s="1">
        <v>0</v>
      </c>
      <c r="E23" s="1"/>
    </row>
    <row r="24" spans="2:5" x14ac:dyDescent="0.3">
      <c r="B24" s="56" t="s">
        <v>52</v>
      </c>
      <c r="C24" s="57"/>
      <c r="D24" s="1">
        <v>0</v>
      </c>
      <c r="E24" s="1"/>
    </row>
    <row r="25" spans="2:5" ht="15.6" x14ac:dyDescent="0.3">
      <c r="B25" s="52" t="s">
        <v>53</v>
      </c>
      <c r="C25" s="51"/>
      <c r="D25" s="34">
        <v>3526.5</v>
      </c>
      <c r="E25" s="1"/>
    </row>
    <row r="26" spans="2:5" ht="15.6" x14ac:dyDescent="0.3">
      <c r="B26" s="52" t="s">
        <v>270</v>
      </c>
      <c r="C26" s="51"/>
      <c r="D26" s="37">
        <f>12613.34
/4</f>
        <v>3153.335</v>
      </c>
      <c r="E26" s="1"/>
    </row>
    <row r="27" spans="2:5" x14ac:dyDescent="0.3">
      <c r="B27" s="59" t="s">
        <v>42</v>
      </c>
      <c r="C27" s="51"/>
      <c r="D27" s="38">
        <f>SUM(D14:D26)</f>
        <v>14590.775000000001</v>
      </c>
      <c r="E27" s="1"/>
    </row>
    <row r="28" spans="2:5" x14ac:dyDescent="0.3">
      <c r="B28" s="14"/>
      <c r="C28" s="14"/>
      <c r="D28" s="14"/>
      <c r="E28" s="14"/>
    </row>
    <row r="29" spans="2:5" x14ac:dyDescent="0.3">
      <c r="B29" t="s">
        <v>11</v>
      </c>
    </row>
    <row r="30" spans="2:5" x14ac:dyDescent="0.3">
      <c r="B30" t="s">
        <v>12</v>
      </c>
      <c r="C30" t="s">
        <v>13</v>
      </c>
    </row>
    <row r="36" spans="2:5" ht="15.6" x14ac:dyDescent="0.3">
      <c r="C36" s="4" t="s">
        <v>6</v>
      </c>
      <c r="D36" s="4"/>
    </row>
    <row r="37" spans="2:5" x14ac:dyDescent="0.3">
      <c r="B37" s="5" t="s">
        <v>7</v>
      </c>
      <c r="C37" s="5"/>
      <c r="D37" s="5"/>
      <c r="E37" s="5"/>
    </row>
    <row r="38" spans="2:5" x14ac:dyDescent="0.3">
      <c r="B38" s="5"/>
      <c r="C38" s="5" t="s">
        <v>30</v>
      </c>
      <c r="D38" s="5"/>
      <c r="E38" s="5"/>
    </row>
    <row r="39" spans="2:5" x14ac:dyDescent="0.3">
      <c r="B39" t="s">
        <v>163</v>
      </c>
      <c r="C39" t="s">
        <v>180</v>
      </c>
      <c r="D39" s="6">
        <v>2</v>
      </c>
    </row>
    <row r="42" spans="2:5" ht="28.8" x14ac:dyDescent="0.3">
      <c r="B42" s="1" t="s">
        <v>0</v>
      </c>
      <c r="C42" s="2" t="s">
        <v>1</v>
      </c>
      <c r="D42" s="2" t="s">
        <v>2</v>
      </c>
      <c r="E42" s="2" t="s">
        <v>3</v>
      </c>
    </row>
    <row r="43" spans="2:5" x14ac:dyDescent="0.3">
      <c r="B43" s="3" t="s">
        <v>4</v>
      </c>
      <c r="C43" s="1">
        <f>97454.28+22392.34</f>
        <v>119846.62</v>
      </c>
      <c r="D43" s="1">
        <f>83010.94+22392.34</f>
        <v>105403.28</v>
      </c>
      <c r="E43" s="1">
        <v>46601.56</v>
      </c>
    </row>
    <row r="44" spans="2:5" x14ac:dyDescent="0.3">
      <c r="B44" s="49" t="s">
        <v>10</v>
      </c>
      <c r="C44" s="50"/>
      <c r="D44" s="51"/>
      <c r="E44" s="1">
        <f>C43-E43</f>
        <v>73245.06</v>
      </c>
    </row>
    <row r="46" spans="2:5" ht="28.8" x14ac:dyDescent="0.3">
      <c r="B46" s="60" t="s">
        <v>37</v>
      </c>
      <c r="C46" s="51"/>
      <c r="D46" s="21" t="s">
        <v>41</v>
      </c>
      <c r="E46" s="3"/>
    </row>
    <row r="47" spans="2:5" x14ac:dyDescent="0.3">
      <c r="B47" s="60" t="s">
        <v>38</v>
      </c>
      <c r="C47" s="51"/>
      <c r="D47" s="1">
        <v>0</v>
      </c>
      <c r="E47" s="1"/>
    </row>
    <row r="48" spans="2:5" ht="15.6" x14ac:dyDescent="0.3">
      <c r="B48" s="52" t="s">
        <v>201</v>
      </c>
      <c r="C48" s="51"/>
      <c r="D48" s="34">
        <v>837.74</v>
      </c>
      <c r="E48" s="1"/>
    </row>
    <row r="49" spans="2:5" x14ac:dyDescent="0.3">
      <c r="B49" s="52"/>
      <c r="C49" s="51"/>
      <c r="D49" s="1">
        <v>0</v>
      </c>
      <c r="E49" s="1"/>
    </row>
    <row r="50" spans="2:5" x14ac:dyDescent="0.3">
      <c r="B50" s="60" t="s">
        <v>40</v>
      </c>
      <c r="C50" s="51"/>
      <c r="D50" s="1">
        <v>0</v>
      </c>
      <c r="E50" s="1"/>
    </row>
    <row r="51" spans="2:5" ht="15.6" x14ac:dyDescent="0.3">
      <c r="B51" s="52" t="s">
        <v>426</v>
      </c>
      <c r="C51" s="51"/>
      <c r="D51" s="34">
        <v>756.19</v>
      </c>
      <c r="E51" s="1"/>
    </row>
    <row r="52" spans="2:5" ht="15.6" x14ac:dyDescent="0.3">
      <c r="B52" s="52" t="s">
        <v>427</v>
      </c>
      <c r="C52" s="51"/>
      <c r="D52" s="32">
        <v>37996.29</v>
      </c>
      <c r="E52" s="1"/>
    </row>
    <row r="53" spans="2:5" x14ac:dyDescent="0.3">
      <c r="B53" s="61" t="s">
        <v>47</v>
      </c>
      <c r="C53" s="51"/>
      <c r="D53" s="1">
        <v>0</v>
      </c>
      <c r="E53" s="1"/>
    </row>
    <row r="54" spans="2:5" ht="15.6" x14ac:dyDescent="0.3">
      <c r="B54" s="52" t="s">
        <v>428</v>
      </c>
      <c r="C54" s="51"/>
      <c r="D54" s="32">
        <v>331.5</v>
      </c>
      <c r="E54" s="1"/>
    </row>
    <row r="55" spans="2:5" x14ac:dyDescent="0.3">
      <c r="B55" s="52"/>
      <c r="C55" s="51"/>
      <c r="D55" s="1"/>
      <c r="E55" s="1"/>
    </row>
    <row r="56" spans="2:5" x14ac:dyDescent="0.3">
      <c r="B56" s="52"/>
      <c r="C56" s="51"/>
      <c r="D56" s="1">
        <v>0</v>
      </c>
      <c r="E56" s="1"/>
    </row>
    <row r="57" spans="2:5" x14ac:dyDescent="0.3">
      <c r="B57" s="56" t="s">
        <v>52</v>
      </c>
      <c r="C57" s="57"/>
      <c r="D57" s="1">
        <v>0</v>
      </c>
      <c r="E57" s="1"/>
    </row>
    <row r="58" spans="2:5" ht="15.6" x14ac:dyDescent="0.3">
      <c r="B58" s="52" t="s">
        <v>53</v>
      </c>
      <c r="C58" s="51"/>
      <c r="D58" s="34">
        <v>3526.5</v>
      </c>
      <c r="E58" s="1"/>
    </row>
    <row r="59" spans="2:5" ht="15.6" x14ac:dyDescent="0.3">
      <c r="B59" s="52" t="s">
        <v>270</v>
      </c>
      <c r="C59" s="51"/>
      <c r="D59" s="34">
        <f>12613.34
/4</f>
        <v>3153.335</v>
      </c>
      <c r="E59" s="1"/>
    </row>
    <row r="60" spans="2:5" x14ac:dyDescent="0.3">
      <c r="B60" s="59" t="s">
        <v>42</v>
      </c>
      <c r="C60" s="51"/>
      <c r="D60" s="38">
        <f>D47+D48+D49+D50+D51+D52+D53+D54+D56+D57+D58+D59</f>
        <v>46601.555</v>
      </c>
      <c r="E60" s="1"/>
    </row>
    <row r="61" spans="2:5" x14ac:dyDescent="0.3">
      <c r="B61" s="14"/>
      <c r="C61" s="14"/>
      <c r="D61" s="14"/>
      <c r="E61" s="14"/>
    </row>
    <row r="62" spans="2:5" x14ac:dyDescent="0.3">
      <c r="B62" t="s">
        <v>11</v>
      </c>
    </row>
    <row r="63" spans="2:5" x14ac:dyDescent="0.3">
      <c r="B63" t="s">
        <v>12</v>
      </c>
      <c r="C63" t="s">
        <v>13</v>
      </c>
    </row>
    <row r="68" spans="2:5" ht="15.6" x14ac:dyDescent="0.3">
      <c r="C68" s="4" t="s">
        <v>6</v>
      </c>
      <c r="D68" s="4"/>
    </row>
    <row r="69" spans="2:5" x14ac:dyDescent="0.3">
      <c r="B69" s="5" t="s">
        <v>7</v>
      </c>
      <c r="C69" s="5"/>
      <c r="D69" s="5"/>
      <c r="E69" s="5"/>
    </row>
    <row r="70" spans="2:5" x14ac:dyDescent="0.3">
      <c r="B70" s="5"/>
      <c r="C70" s="5" t="s">
        <v>30</v>
      </c>
      <c r="D70" s="5"/>
      <c r="E70" s="5"/>
    </row>
    <row r="71" spans="2:5" x14ac:dyDescent="0.3">
      <c r="B71" t="s">
        <v>163</v>
      </c>
      <c r="C71" t="s">
        <v>180</v>
      </c>
      <c r="D71" s="6">
        <v>3</v>
      </c>
    </row>
    <row r="74" spans="2:5" ht="28.8" x14ac:dyDescent="0.3">
      <c r="B74" s="1" t="s">
        <v>0</v>
      </c>
      <c r="C74" s="2" t="s">
        <v>1</v>
      </c>
      <c r="D74" s="2" t="s">
        <v>2</v>
      </c>
      <c r="E74" s="2" t="s">
        <v>3</v>
      </c>
    </row>
    <row r="75" spans="2:5" x14ac:dyDescent="0.3">
      <c r="B75" s="3" t="s">
        <v>4</v>
      </c>
      <c r="C75" s="1">
        <f>121543.92+36715.98</f>
        <v>158259.9</v>
      </c>
      <c r="D75" s="1">
        <f>107181.69+36715.98</f>
        <v>143897.67000000001</v>
      </c>
      <c r="E75" s="1">
        <v>151675.18</v>
      </c>
    </row>
    <row r="76" spans="2:5" x14ac:dyDescent="0.3">
      <c r="B76" s="49" t="s">
        <v>10</v>
      </c>
      <c r="C76" s="50"/>
      <c r="D76" s="51"/>
      <c r="E76" s="1">
        <f>C75-E75</f>
        <v>6584.7200000000012</v>
      </c>
    </row>
    <row r="78" spans="2:5" ht="28.8" x14ac:dyDescent="0.3">
      <c r="B78" s="60" t="s">
        <v>37</v>
      </c>
      <c r="C78" s="51"/>
      <c r="D78" s="21" t="s">
        <v>41</v>
      </c>
      <c r="E78" s="3"/>
    </row>
    <row r="79" spans="2:5" x14ac:dyDescent="0.3">
      <c r="B79" s="60" t="s">
        <v>38</v>
      </c>
      <c r="C79" s="51"/>
      <c r="D79" s="1">
        <v>0</v>
      </c>
      <c r="E79" s="1"/>
    </row>
    <row r="80" spans="2:5" ht="15.6" x14ac:dyDescent="0.3">
      <c r="B80" s="52" t="s">
        <v>405</v>
      </c>
      <c r="C80" s="51"/>
      <c r="D80" s="36">
        <v>5783.75</v>
      </c>
      <c r="E80" s="1"/>
    </row>
    <row r="81" spans="2:5" x14ac:dyDescent="0.3">
      <c r="B81" s="52" t="s">
        <v>429</v>
      </c>
      <c r="C81" s="51"/>
      <c r="D81" s="1">
        <f>1201.4+874.91</f>
        <v>2076.31</v>
      </c>
      <c r="E81" s="1"/>
    </row>
    <row r="82" spans="2:5" x14ac:dyDescent="0.3">
      <c r="B82" s="60" t="s">
        <v>40</v>
      </c>
      <c r="C82" s="51"/>
      <c r="D82" s="1">
        <v>0</v>
      </c>
      <c r="E82" s="1"/>
    </row>
    <row r="83" spans="2:5" x14ac:dyDescent="0.3">
      <c r="B83" s="52" t="s">
        <v>430</v>
      </c>
      <c r="C83" s="51"/>
      <c r="D83" s="27">
        <v>66000</v>
      </c>
      <c r="E83" s="1"/>
    </row>
    <row r="84" spans="2:5" x14ac:dyDescent="0.3">
      <c r="B84" s="52" t="s">
        <v>433</v>
      </c>
      <c r="C84" s="51"/>
      <c r="D84" s="27">
        <v>16408.46</v>
      </c>
      <c r="E84" s="1"/>
    </row>
    <row r="85" spans="2:5" x14ac:dyDescent="0.3">
      <c r="B85" s="29" t="s">
        <v>418</v>
      </c>
      <c r="C85" s="40"/>
      <c r="D85" s="27">
        <v>1029.01</v>
      </c>
      <c r="E85" s="1"/>
    </row>
    <row r="86" spans="2:5" x14ac:dyDescent="0.3">
      <c r="B86" s="61" t="s">
        <v>47</v>
      </c>
      <c r="C86" s="51"/>
      <c r="D86" s="1">
        <v>0</v>
      </c>
      <c r="E86" s="1"/>
    </row>
    <row r="87" spans="2:5" x14ac:dyDescent="0.3">
      <c r="B87" s="52" t="s">
        <v>431</v>
      </c>
      <c r="C87" s="51"/>
      <c r="D87" s="1">
        <f>1074.7+484.4</f>
        <v>1559.1</v>
      </c>
      <c r="E87" s="1"/>
    </row>
    <row r="88" spans="2:5" x14ac:dyDescent="0.3">
      <c r="B88" s="52" t="s">
        <v>432</v>
      </c>
      <c r="C88" s="51"/>
      <c r="D88" s="27">
        <f>1104.21+1147.22</f>
        <v>2251.4300000000003</v>
      </c>
      <c r="E88" s="1"/>
    </row>
    <row r="89" spans="2:5" x14ac:dyDescent="0.3">
      <c r="D89" s="1">
        <v>0</v>
      </c>
      <c r="E89" s="1"/>
    </row>
    <row r="90" spans="2:5" x14ac:dyDescent="0.3">
      <c r="B90" s="56" t="s">
        <v>52</v>
      </c>
      <c r="C90" s="57"/>
      <c r="D90" s="1">
        <v>0</v>
      </c>
      <c r="E90" s="1"/>
    </row>
    <row r="91" spans="2:5" ht="15.6" x14ac:dyDescent="0.3">
      <c r="B91" s="52" t="s">
        <v>53</v>
      </c>
      <c r="C91" s="51"/>
      <c r="D91" s="34">
        <v>4937.1000000000004</v>
      </c>
      <c r="E91" s="1"/>
    </row>
    <row r="92" spans="2:5" ht="15.6" x14ac:dyDescent="0.3">
      <c r="B92" s="52" t="s">
        <v>270</v>
      </c>
      <c r="C92" s="51"/>
      <c r="D92" s="34">
        <v>3153.34</v>
      </c>
      <c r="E92" s="1"/>
    </row>
    <row r="93" spans="2:5" ht="15.6" x14ac:dyDescent="0.3">
      <c r="B93" s="52" t="s">
        <v>434</v>
      </c>
      <c r="C93" s="51"/>
      <c r="D93" s="32">
        <v>48476.68</v>
      </c>
      <c r="E93" s="1"/>
    </row>
    <row r="94" spans="2:5" x14ac:dyDescent="0.3">
      <c r="B94" s="59" t="s">
        <v>42</v>
      </c>
      <c r="C94" s="51"/>
      <c r="D94" s="3">
        <f>SUM(D79:D93)</f>
        <v>151675.18</v>
      </c>
      <c r="E94" s="1"/>
    </row>
    <row r="95" spans="2:5" x14ac:dyDescent="0.3">
      <c r="B95" s="14"/>
      <c r="C95" s="14"/>
      <c r="D95" s="14"/>
      <c r="E95" s="14"/>
    </row>
    <row r="96" spans="2:5" x14ac:dyDescent="0.3">
      <c r="B96" t="s">
        <v>11</v>
      </c>
    </row>
    <row r="97" spans="2:5" x14ac:dyDescent="0.3">
      <c r="B97" t="s">
        <v>12</v>
      </c>
      <c r="C97" t="s">
        <v>13</v>
      </c>
    </row>
    <row r="103" spans="2:5" ht="15.6" x14ac:dyDescent="0.3">
      <c r="C103" s="4" t="s">
        <v>6</v>
      </c>
      <c r="D103" s="4"/>
    </row>
    <row r="104" spans="2:5" x14ac:dyDescent="0.3">
      <c r="B104" s="5" t="s">
        <v>7</v>
      </c>
      <c r="C104" s="5"/>
      <c r="D104" s="5"/>
      <c r="E104" s="5"/>
    </row>
    <row r="105" spans="2:5" x14ac:dyDescent="0.3">
      <c r="B105" s="5"/>
      <c r="C105" s="5" t="s">
        <v>30</v>
      </c>
      <c r="D105" s="5"/>
      <c r="E105" s="5"/>
    </row>
    <row r="106" spans="2:5" x14ac:dyDescent="0.3">
      <c r="B106" t="s">
        <v>163</v>
      </c>
      <c r="C106" t="s">
        <v>180</v>
      </c>
      <c r="D106" s="6">
        <v>4</v>
      </c>
    </row>
    <row r="109" spans="2:5" ht="28.8" x14ac:dyDescent="0.3">
      <c r="B109" s="1" t="s">
        <v>0</v>
      </c>
      <c r="C109" s="2" t="s">
        <v>1</v>
      </c>
      <c r="D109" s="2" t="s">
        <v>2</v>
      </c>
      <c r="E109" s="2" t="s">
        <v>3</v>
      </c>
    </row>
    <row r="110" spans="2:5" x14ac:dyDescent="0.3">
      <c r="B110" s="3" t="s">
        <v>4</v>
      </c>
      <c r="C110" s="1">
        <f>134274.06+19328.59</f>
        <v>153602.65</v>
      </c>
      <c r="D110" s="1">
        <f>117305.44+19328.59</f>
        <v>136634.03</v>
      </c>
      <c r="E110" s="1">
        <v>75581.14</v>
      </c>
    </row>
    <row r="111" spans="2:5" x14ac:dyDescent="0.3">
      <c r="B111" s="49" t="s">
        <v>10</v>
      </c>
      <c r="C111" s="50"/>
      <c r="D111" s="51"/>
      <c r="E111" s="1">
        <f>C110-E110</f>
        <v>78021.509999999995</v>
      </c>
    </row>
    <row r="113" spans="2:5" ht="28.8" x14ac:dyDescent="0.3">
      <c r="B113" s="60" t="s">
        <v>37</v>
      </c>
      <c r="C113" s="51"/>
      <c r="D113" s="21" t="s">
        <v>41</v>
      </c>
      <c r="E113" s="3"/>
    </row>
    <row r="114" spans="2:5" x14ac:dyDescent="0.3">
      <c r="B114" s="60" t="s">
        <v>38</v>
      </c>
      <c r="C114" s="51"/>
      <c r="D114" s="1">
        <v>0</v>
      </c>
      <c r="E114" s="1"/>
    </row>
    <row r="115" spans="2:5" ht="31.2" customHeight="1" x14ac:dyDescent="0.3">
      <c r="B115" s="52" t="s">
        <v>370</v>
      </c>
      <c r="C115" s="51"/>
      <c r="D115" s="34">
        <v>322.08999999999997</v>
      </c>
      <c r="E115" s="1"/>
    </row>
    <row r="116" spans="2:5" x14ac:dyDescent="0.3">
      <c r="B116" s="52"/>
      <c r="C116" s="51"/>
      <c r="D116" s="1">
        <v>0</v>
      </c>
      <c r="E116" s="1"/>
    </row>
    <row r="117" spans="2:5" x14ac:dyDescent="0.3">
      <c r="B117" s="60" t="s">
        <v>40</v>
      </c>
      <c r="C117" s="51"/>
      <c r="D117" s="1">
        <v>0</v>
      </c>
      <c r="E117" s="1"/>
    </row>
    <row r="118" spans="2:5" x14ac:dyDescent="0.3">
      <c r="B118" s="52" t="s">
        <v>113</v>
      </c>
      <c r="C118" s="51"/>
      <c r="D118" s="27">
        <v>69622.45</v>
      </c>
      <c r="E118" s="1"/>
    </row>
    <row r="119" spans="2:5" x14ac:dyDescent="0.3">
      <c r="B119" s="52" t="s">
        <v>435</v>
      </c>
      <c r="C119" s="51"/>
      <c r="D119" s="30">
        <v>2757.09</v>
      </c>
      <c r="E119" s="1"/>
    </row>
    <row r="120" spans="2:5" x14ac:dyDescent="0.3">
      <c r="B120" s="61" t="s">
        <v>47</v>
      </c>
      <c r="C120" s="51"/>
      <c r="D120" s="1">
        <v>0</v>
      </c>
      <c r="E120" s="1"/>
    </row>
    <row r="121" spans="2:5" x14ac:dyDescent="0.3">
      <c r="B121" s="52" t="s">
        <v>388</v>
      </c>
      <c r="C121" s="51"/>
      <c r="D121" s="1">
        <f>323.88+1376.66</f>
        <v>1700.54</v>
      </c>
      <c r="E121" s="1"/>
    </row>
    <row r="122" spans="2:5" x14ac:dyDescent="0.3">
      <c r="B122" s="52"/>
      <c r="C122" s="51"/>
      <c r="D122" s="1"/>
      <c r="E122" s="1"/>
    </row>
    <row r="123" spans="2:5" x14ac:dyDescent="0.3">
      <c r="B123" s="52"/>
      <c r="C123" s="51"/>
      <c r="D123" s="1">
        <v>0</v>
      </c>
      <c r="E123" s="1"/>
    </row>
    <row r="124" spans="2:5" x14ac:dyDescent="0.3">
      <c r="B124" s="56" t="s">
        <v>52</v>
      </c>
      <c r="C124" s="57"/>
      <c r="D124" s="1">
        <v>0</v>
      </c>
      <c r="E124" s="1"/>
    </row>
    <row r="125" spans="2:5" x14ac:dyDescent="0.3">
      <c r="B125" s="52" t="s">
        <v>53</v>
      </c>
      <c r="C125" s="51"/>
      <c r="D125" s="1"/>
      <c r="E125" s="1"/>
    </row>
    <row r="126" spans="2:5" x14ac:dyDescent="0.3">
      <c r="B126" s="52" t="s">
        <v>411</v>
      </c>
      <c r="C126" s="51"/>
      <c r="D126" s="30">
        <v>1178.97</v>
      </c>
      <c r="E126" s="1"/>
    </row>
    <row r="127" spans="2:5" x14ac:dyDescent="0.3">
      <c r="B127" s="59" t="s">
        <v>42</v>
      </c>
      <c r="C127" s="51"/>
      <c r="D127" s="3">
        <f>SUM(D114:D126)</f>
        <v>75581.139999999985</v>
      </c>
      <c r="E127" s="1"/>
    </row>
    <row r="128" spans="2:5" x14ac:dyDescent="0.3">
      <c r="B128" s="14"/>
      <c r="C128" s="14"/>
      <c r="D128" s="14"/>
      <c r="E128" s="14"/>
    </row>
    <row r="129" spans="2:5" x14ac:dyDescent="0.3">
      <c r="B129" t="s">
        <v>11</v>
      </c>
    </row>
    <row r="130" spans="2:5" x14ac:dyDescent="0.3">
      <c r="B130" t="s">
        <v>12</v>
      </c>
      <c r="C130" t="s">
        <v>13</v>
      </c>
    </row>
    <row r="137" spans="2:5" ht="15.6" x14ac:dyDescent="0.3">
      <c r="C137" s="4" t="s">
        <v>6</v>
      </c>
      <c r="D137" s="4"/>
    </row>
    <row r="138" spans="2:5" x14ac:dyDescent="0.3">
      <c r="B138" s="5" t="s">
        <v>7</v>
      </c>
      <c r="C138" s="5"/>
      <c r="D138" s="5"/>
      <c r="E138" s="5"/>
    </row>
    <row r="139" spans="2:5" x14ac:dyDescent="0.3">
      <c r="B139" s="5"/>
      <c r="C139" s="5" t="s">
        <v>30</v>
      </c>
      <c r="D139" s="5"/>
      <c r="E139" s="5"/>
    </row>
    <row r="140" spans="2:5" x14ac:dyDescent="0.3">
      <c r="B140" t="s">
        <v>163</v>
      </c>
      <c r="C140" t="s">
        <v>180</v>
      </c>
      <c r="D140" s="6">
        <v>5</v>
      </c>
    </row>
    <row r="143" spans="2:5" ht="28.8" x14ac:dyDescent="0.3">
      <c r="B143" s="1" t="s">
        <v>0</v>
      </c>
      <c r="C143" s="2" t="s">
        <v>1</v>
      </c>
      <c r="D143" s="2" t="s">
        <v>2</v>
      </c>
      <c r="E143" s="2" t="s">
        <v>3</v>
      </c>
    </row>
    <row r="144" spans="2:5" x14ac:dyDescent="0.3">
      <c r="B144" s="3" t="s">
        <v>4</v>
      </c>
      <c r="C144" s="1">
        <f>125762.58+72128.03</f>
        <v>197890.61</v>
      </c>
      <c r="D144" s="1">
        <f>105511.09+72128.03</f>
        <v>177639.12</v>
      </c>
      <c r="E144" s="1">
        <v>15257.12</v>
      </c>
    </row>
    <row r="145" spans="2:5" x14ac:dyDescent="0.3">
      <c r="B145" s="49" t="s">
        <v>10</v>
      </c>
      <c r="C145" s="50"/>
      <c r="D145" s="51"/>
      <c r="E145" s="1">
        <f>C144-E144</f>
        <v>182633.49</v>
      </c>
    </row>
    <row r="147" spans="2:5" ht="28.8" x14ac:dyDescent="0.3">
      <c r="B147" s="60" t="s">
        <v>37</v>
      </c>
      <c r="C147" s="51"/>
      <c r="D147" s="21" t="s">
        <v>41</v>
      </c>
      <c r="E147" s="3"/>
    </row>
    <row r="148" spans="2:5" x14ac:dyDescent="0.3">
      <c r="B148" s="60" t="s">
        <v>38</v>
      </c>
      <c r="C148" s="51"/>
      <c r="D148" s="1">
        <v>0</v>
      </c>
      <c r="E148" s="1"/>
    </row>
    <row r="149" spans="2:5" x14ac:dyDescent="0.3">
      <c r="B149" s="52" t="s">
        <v>436</v>
      </c>
      <c r="C149" s="51"/>
      <c r="D149" s="33">
        <v>5002.16</v>
      </c>
      <c r="E149" s="1"/>
    </row>
    <row r="150" spans="2:5" ht="15.6" x14ac:dyDescent="0.3">
      <c r="B150" s="52" t="s">
        <v>439</v>
      </c>
      <c r="C150" s="51"/>
      <c r="D150" s="34">
        <v>449.32</v>
      </c>
      <c r="E150" s="1"/>
    </row>
    <row r="151" spans="2:5" x14ac:dyDescent="0.3">
      <c r="B151" s="60" t="s">
        <v>40</v>
      </c>
      <c r="C151" s="51"/>
      <c r="D151" s="1">
        <v>0</v>
      </c>
      <c r="E151" s="1"/>
    </row>
    <row r="152" spans="2:5" x14ac:dyDescent="0.3">
      <c r="B152" s="52" t="s">
        <v>367</v>
      </c>
      <c r="C152" s="51"/>
      <c r="D152" s="33">
        <v>1187.19</v>
      </c>
      <c r="E152" s="1"/>
    </row>
    <row r="153" spans="2:5" ht="15.6" x14ac:dyDescent="0.3">
      <c r="B153" s="52" t="s">
        <v>438</v>
      </c>
      <c r="C153" s="51"/>
      <c r="D153" s="32">
        <v>2264.1799999999998</v>
      </c>
      <c r="E153" s="1"/>
    </row>
    <row r="154" spans="2:5" x14ac:dyDescent="0.3">
      <c r="B154" s="10" t="s">
        <v>70</v>
      </c>
      <c r="C154" s="10"/>
      <c r="D154" s="27">
        <v>735.17</v>
      </c>
      <c r="E154" s="1"/>
    </row>
    <row r="155" spans="2:5" x14ac:dyDescent="0.3">
      <c r="B155" s="61" t="s">
        <v>47</v>
      </c>
      <c r="C155" s="51"/>
      <c r="D155" s="1">
        <v>0</v>
      </c>
      <c r="E155" s="1"/>
    </row>
    <row r="156" spans="2:5" ht="15.6" x14ac:dyDescent="0.3">
      <c r="B156" s="52" t="s">
        <v>437</v>
      </c>
      <c r="C156" s="51"/>
      <c r="D156" s="34">
        <f>1447.15+338.95</f>
        <v>1786.1000000000001</v>
      </c>
      <c r="E156" s="1"/>
    </row>
    <row r="157" spans="2:5" ht="15.6" x14ac:dyDescent="0.3">
      <c r="B157" s="52" t="s">
        <v>50</v>
      </c>
      <c r="C157" s="51"/>
      <c r="D157" s="32">
        <v>2654.03</v>
      </c>
      <c r="E157" s="1"/>
    </row>
    <row r="158" spans="2:5" x14ac:dyDescent="0.3">
      <c r="B158" s="52"/>
      <c r="C158" s="51"/>
      <c r="D158" s="1">
        <v>0</v>
      </c>
      <c r="E158" s="1"/>
    </row>
    <row r="159" spans="2:5" x14ac:dyDescent="0.3">
      <c r="B159" s="56" t="s">
        <v>52</v>
      </c>
      <c r="C159" s="57"/>
      <c r="D159" s="1">
        <v>0</v>
      </c>
      <c r="E159" s="1"/>
    </row>
    <row r="160" spans="2:5" x14ac:dyDescent="0.3">
      <c r="B160" s="52" t="s">
        <v>53</v>
      </c>
      <c r="C160" s="51"/>
      <c r="D160" s="1"/>
      <c r="E160" s="1"/>
    </row>
    <row r="161" spans="2:5" x14ac:dyDescent="0.3">
      <c r="B161" s="52" t="s">
        <v>411</v>
      </c>
      <c r="C161" s="51"/>
      <c r="D161" s="30">
        <v>1178.97</v>
      </c>
      <c r="E161" s="1"/>
    </row>
    <row r="162" spans="2:5" x14ac:dyDescent="0.3">
      <c r="B162" s="59" t="s">
        <v>42</v>
      </c>
      <c r="C162" s="51"/>
      <c r="D162" s="3">
        <f>SUM(D148:D161)</f>
        <v>15257.12</v>
      </c>
      <c r="E162" s="1"/>
    </row>
    <row r="163" spans="2:5" x14ac:dyDescent="0.3">
      <c r="B163" s="14"/>
      <c r="C163" s="14"/>
      <c r="D163" s="14"/>
      <c r="E163" s="14"/>
    </row>
    <row r="164" spans="2:5" x14ac:dyDescent="0.3">
      <c r="B164" t="s">
        <v>11</v>
      </c>
    </row>
    <row r="165" spans="2:5" x14ac:dyDescent="0.3">
      <c r="B165" t="s">
        <v>12</v>
      </c>
      <c r="C165" t="s">
        <v>13</v>
      </c>
    </row>
    <row r="171" spans="2:5" ht="15.6" x14ac:dyDescent="0.3">
      <c r="C171" s="4" t="s">
        <v>6</v>
      </c>
      <c r="D171" s="4"/>
    </row>
    <row r="172" spans="2:5" x14ac:dyDescent="0.3">
      <c r="B172" s="5" t="s">
        <v>7</v>
      </c>
      <c r="C172" s="5"/>
      <c r="D172" s="5"/>
      <c r="E172" s="5"/>
    </row>
    <row r="173" spans="2:5" x14ac:dyDescent="0.3">
      <c r="B173" s="5"/>
      <c r="C173" s="5" t="s">
        <v>30</v>
      </c>
      <c r="D173" s="5"/>
      <c r="E173" s="5"/>
    </row>
    <row r="174" spans="2:5" x14ac:dyDescent="0.3">
      <c r="B174" t="s">
        <v>163</v>
      </c>
      <c r="C174" t="s">
        <v>180</v>
      </c>
      <c r="D174" s="6">
        <v>6</v>
      </c>
    </row>
    <row r="177" spans="2:5" ht="28.8" x14ac:dyDescent="0.3">
      <c r="B177" s="1" t="s">
        <v>0</v>
      </c>
      <c r="C177" s="2" t="s">
        <v>1</v>
      </c>
      <c r="D177" s="2" t="s">
        <v>2</v>
      </c>
      <c r="E177" s="2" t="s">
        <v>3</v>
      </c>
    </row>
    <row r="178" spans="2:5" x14ac:dyDescent="0.3">
      <c r="B178" s="3" t="s">
        <v>4</v>
      </c>
      <c r="C178" s="1">
        <f>151568.58+4201.01</f>
        <v>155769.59</v>
      </c>
      <c r="D178" s="1">
        <f>131145.59+4201.01</f>
        <v>135346.6</v>
      </c>
      <c r="E178" s="1">
        <v>102831.66</v>
      </c>
    </row>
    <row r="179" spans="2:5" x14ac:dyDescent="0.3">
      <c r="B179" s="49" t="s">
        <v>10</v>
      </c>
      <c r="C179" s="50"/>
      <c r="D179" s="51"/>
      <c r="E179" s="1">
        <f>C178-E178</f>
        <v>52937.929999999993</v>
      </c>
    </row>
    <row r="181" spans="2:5" ht="28.8" x14ac:dyDescent="0.3">
      <c r="B181" s="60" t="s">
        <v>37</v>
      </c>
      <c r="C181" s="51"/>
      <c r="D181" s="21" t="s">
        <v>41</v>
      </c>
      <c r="E181" s="3"/>
    </row>
    <row r="182" spans="2:5" x14ac:dyDescent="0.3">
      <c r="B182" s="60" t="s">
        <v>38</v>
      </c>
      <c r="C182" s="51"/>
      <c r="D182" s="1">
        <v>0</v>
      </c>
      <c r="E182" s="1"/>
    </row>
    <row r="183" spans="2:5" x14ac:dyDescent="0.3">
      <c r="B183" s="52" t="s">
        <v>218</v>
      </c>
      <c r="C183" s="51"/>
      <c r="D183" s="27">
        <v>4214.72</v>
      </c>
      <c r="E183" s="1"/>
    </row>
    <row r="184" spans="2:5" x14ac:dyDescent="0.3">
      <c r="B184" s="52"/>
      <c r="C184" s="51"/>
      <c r="D184" s="1">
        <v>0</v>
      </c>
      <c r="E184" s="1"/>
    </row>
    <row r="185" spans="2:5" x14ac:dyDescent="0.3">
      <c r="B185" s="60" t="s">
        <v>40</v>
      </c>
      <c r="C185" s="51"/>
      <c r="D185" s="1">
        <v>0</v>
      </c>
      <c r="E185" s="1"/>
    </row>
    <row r="186" spans="2:5" x14ac:dyDescent="0.3">
      <c r="B186" s="52" t="s">
        <v>440</v>
      </c>
      <c r="C186" s="51"/>
      <c r="D186" s="27">
        <v>62420.22</v>
      </c>
      <c r="E186" s="1"/>
    </row>
    <row r="187" spans="2:5" x14ac:dyDescent="0.3">
      <c r="B187" s="52" t="s">
        <v>441</v>
      </c>
      <c r="C187" s="51"/>
      <c r="D187" s="1">
        <f>10896.21+8420.33</f>
        <v>19316.54</v>
      </c>
      <c r="E187" s="1"/>
    </row>
    <row r="188" spans="2:5" x14ac:dyDescent="0.3">
      <c r="B188" s="61" t="s">
        <v>47</v>
      </c>
      <c r="C188" s="51"/>
      <c r="D188" s="1">
        <v>0</v>
      </c>
      <c r="E188" s="1"/>
    </row>
    <row r="189" spans="2:5" x14ac:dyDescent="0.3">
      <c r="B189" s="52"/>
      <c r="C189" s="51"/>
      <c r="D189" s="1">
        <v>0</v>
      </c>
      <c r="E189" s="1"/>
    </row>
    <row r="190" spans="2:5" x14ac:dyDescent="0.3">
      <c r="B190" s="52"/>
      <c r="C190" s="51"/>
      <c r="D190" s="1"/>
      <c r="E190" s="1"/>
    </row>
    <row r="191" spans="2:5" x14ac:dyDescent="0.3">
      <c r="B191" s="52"/>
      <c r="C191" s="51"/>
      <c r="D191" s="1">
        <v>0</v>
      </c>
      <c r="E191" s="1"/>
    </row>
    <row r="192" spans="2:5" x14ac:dyDescent="0.3">
      <c r="B192" s="56" t="s">
        <v>52</v>
      </c>
      <c r="C192" s="57"/>
      <c r="D192" s="1">
        <v>0</v>
      </c>
      <c r="E192" s="1"/>
    </row>
    <row r="193" spans="2:5" ht="15.6" x14ac:dyDescent="0.3">
      <c r="B193" s="52" t="s">
        <v>53</v>
      </c>
      <c r="C193" s="51"/>
      <c r="D193" s="34">
        <v>16880.18</v>
      </c>
      <c r="E193" s="1"/>
    </row>
    <row r="194" spans="2:5" x14ac:dyDescent="0.3">
      <c r="B194" s="52"/>
      <c r="C194" s="51"/>
      <c r="D194" s="1">
        <v>0</v>
      </c>
      <c r="E194" s="1"/>
    </row>
    <row r="195" spans="2:5" x14ac:dyDescent="0.3">
      <c r="B195" s="59" t="s">
        <v>42</v>
      </c>
      <c r="C195" s="51"/>
      <c r="D195" s="3">
        <f>SUM(D182:D194)</f>
        <v>102831.66</v>
      </c>
      <c r="E195" s="1"/>
    </row>
    <row r="196" spans="2:5" x14ac:dyDescent="0.3">
      <c r="B196" s="14"/>
      <c r="C196" s="14"/>
      <c r="D196" s="14"/>
      <c r="E196" s="14"/>
    </row>
    <row r="197" spans="2:5" x14ac:dyDescent="0.3">
      <c r="B197" t="s">
        <v>11</v>
      </c>
    </row>
    <row r="198" spans="2:5" x14ac:dyDescent="0.3">
      <c r="B198" t="s">
        <v>12</v>
      </c>
      <c r="C198" t="s">
        <v>13</v>
      </c>
    </row>
    <row r="205" spans="2:5" ht="15.6" x14ac:dyDescent="0.3">
      <c r="C205" s="4" t="s">
        <v>6</v>
      </c>
      <c r="D205" s="4"/>
    </row>
    <row r="206" spans="2:5" x14ac:dyDescent="0.3">
      <c r="B206" s="5" t="s">
        <v>7</v>
      </c>
      <c r="C206" s="5"/>
      <c r="D206" s="5"/>
      <c r="E206" s="5"/>
    </row>
    <row r="207" spans="2:5" x14ac:dyDescent="0.3">
      <c r="B207" s="5"/>
      <c r="C207" s="5" t="s">
        <v>30</v>
      </c>
      <c r="D207" s="5"/>
      <c r="E207" s="5"/>
    </row>
    <row r="208" spans="2:5" x14ac:dyDescent="0.3">
      <c r="B208" t="s">
        <v>163</v>
      </c>
      <c r="C208" t="s">
        <v>180</v>
      </c>
      <c r="D208" s="6">
        <v>7</v>
      </c>
    </row>
    <row r="211" spans="2:5" ht="28.8" x14ac:dyDescent="0.3">
      <c r="B211" s="1" t="s">
        <v>0</v>
      </c>
      <c r="C211" s="2" t="s">
        <v>1</v>
      </c>
      <c r="D211" s="2" t="s">
        <v>2</v>
      </c>
      <c r="E211" s="2" t="s">
        <v>3</v>
      </c>
    </row>
    <row r="212" spans="2:5" x14ac:dyDescent="0.3">
      <c r="B212" s="3" t="s">
        <v>4</v>
      </c>
      <c r="C212" s="1">
        <v>218572.2</v>
      </c>
      <c r="D212" s="1">
        <v>191404.29</v>
      </c>
      <c r="E212" s="1">
        <v>14638.45</v>
      </c>
    </row>
    <row r="213" spans="2:5" x14ac:dyDescent="0.3">
      <c r="B213" s="49" t="s">
        <v>10</v>
      </c>
      <c r="C213" s="50"/>
      <c r="D213" s="51"/>
      <c r="E213" s="1">
        <f>C212-E212</f>
        <v>203933.75</v>
      </c>
    </row>
    <row r="215" spans="2:5" ht="28.8" x14ac:dyDescent="0.3">
      <c r="B215" s="60" t="s">
        <v>37</v>
      </c>
      <c r="C215" s="51"/>
      <c r="D215" s="21" t="s">
        <v>41</v>
      </c>
      <c r="E215" s="3"/>
    </row>
    <row r="216" spans="2:5" x14ac:dyDescent="0.3">
      <c r="B216" s="60" t="s">
        <v>38</v>
      </c>
      <c r="C216" s="51"/>
      <c r="D216" s="1">
        <v>0</v>
      </c>
      <c r="E216" s="1"/>
    </row>
    <row r="217" spans="2:5" ht="15.6" x14ac:dyDescent="0.3">
      <c r="B217" s="52" t="s">
        <v>445</v>
      </c>
      <c r="C217" s="51"/>
      <c r="D217" s="32">
        <f>2322.49+1375.17</f>
        <v>3697.66</v>
      </c>
      <c r="E217" s="1"/>
    </row>
    <row r="218" spans="2:5" ht="15.6" x14ac:dyDescent="0.3">
      <c r="B218" s="52" t="s">
        <v>446</v>
      </c>
      <c r="C218" s="51"/>
      <c r="D218" s="32">
        <v>1611.42</v>
      </c>
      <c r="E218" s="1"/>
    </row>
    <row r="219" spans="2:5" x14ac:dyDescent="0.3">
      <c r="B219" s="60" t="s">
        <v>40</v>
      </c>
      <c r="C219" s="51"/>
      <c r="D219" s="1">
        <v>0</v>
      </c>
      <c r="E219" s="1"/>
    </row>
    <row r="220" spans="2:5" x14ac:dyDescent="0.3">
      <c r="B220" s="52"/>
      <c r="C220" s="51"/>
      <c r="D220" s="1">
        <v>0</v>
      </c>
      <c r="E220" s="1"/>
    </row>
    <row r="221" spans="2:5" x14ac:dyDescent="0.3">
      <c r="B221" s="52"/>
      <c r="C221" s="51"/>
      <c r="D221" s="1">
        <v>0</v>
      </c>
      <c r="E221" s="1"/>
    </row>
    <row r="222" spans="2:5" x14ac:dyDescent="0.3">
      <c r="B222" s="61" t="s">
        <v>47</v>
      </c>
      <c r="C222" s="51"/>
      <c r="D222" s="1">
        <v>0</v>
      </c>
      <c r="E222" s="1"/>
    </row>
    <row r="223" spans="2:5" x14ac:dyDescent="0.3">
      <c r="B223" s="52" t="s">
        <v>442</v>
      </c>
      <c r="C223" s="51"/>
      <c r="D223" s="1">
        <f>672.82+148.18+643.13</f>
        <v>1464.13</v>
      </c>
      <c r="E223" s="1"/>
    </row>
    <row r="224" spans="2:5" x14ac:dyDescent="0.3">
      <c r="B224" s="52" t="s">
        <v>443</v>
      </c>
      <c r="C224" s="51"/>
      <c r="D224" s="1">
        <f>227.27+1448.09</f>
        <v>1675.36</v>
      </c>
      <c r="E224" s="1"/>
    </row>
    <row r="225" spans="2:5" x14ac:dyDescent="0.3">
      <c r="B225" s="52"/>
      <c r="C225" s="51"/>
      <c r="D225" s="1">
        <v>0</v>
      </c>
      <c r="E225" s="1"/>
    </row>
    <row r="226" spans="2:5" x14ac:dyDescent="0.3">
      <c r="B226" s="56" t="s">
        <v>52</v>
      </c>
      <c r="C226" s="57"/>
      <c r="D226" s="1">
        <v>0</v>
      </c>
      <c r="E226" s="1"/>
    </row>
    <row r="227" spans="2:5" x14ac:dyDescent="0.3">
      <c r="B227" s="52" t="s">
        <v>53</v>
      </c>
      <c r="C227" s="51"/>
      <c r="D227" s="1"/>
      <c r="E227" s="1"/>
    </row>
    <row r="228" spans="2:5" ht="15.6" x14ac:dyDescent="0.3">
      <c r="B228" s="52" t="s">
        <v>444</v>
      </c>
      <c r="C228" s="51"/>
      <c r="D228" s="32">
        <v>4645.55</v>
      </c>
      <c r="E228" s="1"/>
    </row>
    <row r="229" spans="2:5" ht="15.6" x14ac:dyDescent="0.3">
      <c r="B229" s="43" t="s">
        <v>411</v>
      </c>
      <c r="C229" s="43"/>
      <c r="D229" s="34">
        <v>1544.33</v>
      </c>
      <c r="E229" s="1"/>
    </row>
    <row r="230" spans="2:5" x14ac:dyDescent="0.3">
      <c r="B230" s="59" t="s">
        <v>42</v>
      </c>
      <c r="C230" s="51"/>
      <c r="D230" s="3">
        <f>SUM(D216:D229)</f>
        <v>14638.449999999999</v>
      </c>
      <c r="E230" s="1"/>
    </row>
    <row r="231" spans="2:5" x14ac:dyDescent="0.3">
      <c r="B231" s="14"/>
      <c r="C231" s="14"/>
      <c r="D231" s="14"/>
      <c r="E231" s="14"/>
    </row>
    <row r="232" spans="2:5" x14ac:dyDescent="0.3">
      <c r="B232" t="s">
        <v>11</v>
      </c>
    </row>
    <row r="233" spans="2:5" x14ac:dyDescent="0.3">
      <c r="B233" t="s">
        <v>12</v>
      </c>
      <c r="C233" t="s">
        <v>13</v>
      </c>
    </row>
    <row r="240" spans="2:5" ht="15.6" x14ac:dyDescent="0.3">
      <c r="C240" s="4" t="s">
        <v>6</v>
      </c>
      <c r="D240" s="4"/>
    </row>
    <row r="241" spans="2:5" x14ac:dyDescent="0.3">
      <c r="B241" s="5" t="s">
        <v>7</v>
      </c>
      <c r="C241" s="5"/>
      <c r="D241" s="5"/>
      <c r="E241" s="5"/>
    </row>
    <row r="242" spans="2:5" x14ac:dyDescent="0.3">
      <c r="B242" s="5"/>
      <c r="C242" s="5" t="s">
        <v>30</v>
      </c>
      <c r="D242" s="5"/>
      <c r="E242" s="5"/>
    </row>
    <row r="243" spans="2:5" x14ac:dyDescent="0.3">
      <c r="B243" t="s">
        <v>163</v>
      </c>
      <c r="C243" t="s">
        <v>180</v>
      </c>
      <c r="D243" s="6">
        <v>10</v>
      </c>
    </row>
    <row r="246" spans="2:5" ht="28.8" x14ac:dyDescent="0.3">
      <c r="B246" s="1" t="s">
        <v>0</v>
      </c>
      <c r="C246" s="2" t="s">
        <v>1</v>
      </c>
      <c r="D246" s="2" t="s">
        <v>2</v>
      </c>
      <c r="E246" s="2" t="s">
        <v>3</v>
      </c>
    </row>
    <row r="247" spans="2:5" x14ac:dyDescent="0.3">
      <c r="B247" s="3" t="s">
        <v>4</v>
      </c>
      <c r="C247" s="1">
        <v>184757.34</v>
      </c>
      <c r="D247" s="1">
        <v>155362.74</v>
      </c>
      <c r="E247" s="1">
        <v>79425.679999999993</v>
      </c>
    </row>
    <row r="248" spans="2:5" x14ac:dyDescent="0.3">
      <c r="B248" s="49" t="s">
        <v>10</v>
      </c>
      <c r="C248" s="50"/>
      <c r="D248" s="51"/>
      <c r="E248" s="1">
        <f>C247-E247</f>
        <v>105331.66</v>
      </c>
    </row>
    <row r="250" spans="2:5" ht="28.8" x14ac:dyDescent="0.3">
      <c r="B250" s="60" t="s">
        <v>37</v>
      </c>
      <c r="C250" s="51"/>
      <c r="D250" s="21" t="s">
        <v>41</v>
      </c>
      <c r="E250" s="3"/>
    </row>
    <row r="251" spans="2:5" x14ac:dyDescent="0.3">
      <c r="B251" s="60" t="s">
        <v>38</v>
      </c>
      <c r="C251" s="51"/>
      <c r="D251" s="1">
        <v>0</v>
      </c>
      <c r="E251" s="1"/>
    </row>
    <row r="252" spans="2:5" ht="15.6" x14ac:dyDescent="0.3">
      <c r="B252" s="52" t="s">
        <v>447</v>
      </c>
      <c r="C252" s="51"/>
      <c r="D252" s="36">
        <v>23969.08</v>
      </c>
      <c r="E252" s="1"/>
    </row>
    <row r="253" spans="2:5" ht="15.6" x14ac:dyDescent="0.3">
      <c r="B253" s="52" t="s">
        <v>292</v>
      </c>
      <c r="C253" s="51"/>
      <c r="D253" s="32">
        <v>19624.919999999998</v>
      </c>
      <c r="E253" s="1"/>
    </row>
    <row r="254" spans="2:5" x14ac:dyDescent="0.3">
      <c r="B254" s="60" t="s">
        <v>40</v>
      </c>
      <c r="C254" s="51"/>
      <c r="D254" s="1">
        <v>0</v>
      </c>
      <c r="E254" s="1"/>
    </row>
    <row r="255" spans="2:5" ht="15.6" x14ac:dyDescent="0.3">
      <c r="B255" s="52" t="s">
        <v>195</v>
      </c>
      <c r="C255" s="51"/>
      <c r="D255" s="34">
        <v>2073.96</v>
      </c>
      <c r="E255" s="1"/>
    </row>
    <row r="256" spans="2:5" x14ac:dyDescent="0.3">
      <c r="B256" s="52" t="s">
        <v>448</v>
      </c>
      <c r="C256" s="51"/>
      <c r="D256" s="33">
        <v>2578.77</v>
      </c>
      <c r="E256" s="1"/>
    </row>
    <row r="257" spans="2:5" ht="15.6" x14ac:dyDescent="0.3">
      <c r="B257" s="68" t="s">
        <v>449</v>
      </c>
      <c r="C257" s="51"/>
      <c r="D257" s="32">
        <v>23250</v>
      </c>
      <c r="E257" s="1"/>
    </row>
    <row r="258" spans="2:5" x14ac:dyDescent="0.3">
      <c r="B258" s="61" t="s">
        <v>47</v>
      </c>
      <c r="C258" s="51"/>
      <c r="D258" s="1">
        <v>0</v>
      </c>
      <c r="E258" s="1"/>
    </row>
    <row r="259" spans="2:5" ht="15.6" x14ac:dyDescent="0.3">
      <c r="B259" s="52" t="s">
        <v>192</v>
      </c>
      <c r="C259" s="51"/>
      <c r="D259" s="32">
        <v>5736.12</v>
      </c>
      <c r="E259" s="1"/>
    </row>
    <row r="260" spans="2:5" x14ac:dyDescent="0.3">
      <c r="B260" s="52"/>
      <c r="C260" s="51"/>
      <c r="D260" s="1"/>
      <c r="E260" s="1"/>
    </row>
    <row r="261" spans="2:5" x14ac:dyDescent="0.3">
      <c r="B261" s="52"/>
      <c r="C261" s="51"/>
      <c r="D261" s="1">
        <v>0</v>
      </c>
      <c r="E261" s="1"/>
    </row>
    <row r="262" spans="2:5" x14ac:dyDescent="0.3">
      <c r="B262" s="56" t="s">
        <v>52</v>
      </c>
      <c r="C262" s="57"/>
      <c r="D262" s="1">
        <v>0</v>
      </c>
      <c r="E262" s="1"/>
    </row>
    <row r="263" spans="2:5" x14ac:dyDescent="0.3">
      <c r="B263" s="52" t="s">
        <v>53</v>
      </c>
      <c r="C263" s="51"/>
      <c r="D263" s="1"/>
      <c r="E263" s="1"/>
    </row>
    <row r="264" spans="2:5" x14ac:dyDescent="0.3">
      <c r="B264" s="52" t="s">
        <v>411</v>
      </c>
      <c r="C264" s="51"/>
      <c r="D264" s="33">
        <v>2192.83</v>
      </c>
      <c r="E264" s="1"/>
    </row>
    <row r="265" spans="2:5" x14ac:dyDescent="0.3">
      <c r="B265" s="59" t="s">
        <v>42</v>
      </c>
      <c r="C265" s="51"/>
      <c r="D265" s="3">
        <f>SUM(D251:D264)</f>
        <v>79425.679999999993</v>
      </c>
      <c r="E265" s="1"/>
    </row>
    <row r="266" spans="2:5" x14ac:dyDescent="0.3">
      <c r="B266" s="14"/>
      <c r="C266" s="14"/>
      <c r="D266" s="14"/>
      <c r="E266" s="14"/>
    </row>
    <row r="267" spans="2:5" x14ac:dyDescent="0.3">
      <c r="B267" t="s">
        <v>11</v>
      </c>
    </row>
    <row r="268" spans="2:5" x14ac:dyDescent="0.3">
      <c r="B268" t="s">
        <v>12</v>
      </c>
      <c r="C268" t="s">
        <v>13</v>
      </c>
    </row>
    <row r="273" spans="2:5" ht="15.6" x14ac:dyDescent="0.3">
      <c r="C273" s="4" t="s">
        <v>6</v>
      </c>
      <c r="D273" s="4"/>
    </row>
    <row r="274" spans="2:5" x14ac:dyDescent="0.3">
      <c r="B274" s="5" t="s">
        <v>7</v>
      </c>
      <c r="C274" s="5"/>
      <c r="D274" s="5"/>
      <c r="E274" s="5"/>
    </row>
    <row r="275" spans="2:5" x14ac:dyDescent="0.3">
      <c r="B275" s="5"/>
      <c r="C275" s="5" t="s">
        <v>30</v>
      </c>
      <c r="D275" s="5"/>
      <c r="E275" s="5"/>
    </row>
    <row r="276" spans="2:5" x14ac:dyDescent="0.3">
      <c r="B276" t="s">
        <v>163</v>
      </c>
      <c r="C276" t="s">
        <v>180</v>
      </c>
      <c r="D276" s="6">
        <v>11</v>
      </c>
    </row>
    <row r="279" spans="2:5" ht="28.8" x14ac:dyDescent="0.3">
      <c r="B279" s="1" t="s">
        <v>0</v>
      </c>
      <c r="C279" s="2" t="s">
        <v>1</v>
      </c>
      <c r="D279" s="2" t="s">
        <v>2</v>
      </c>
      <c r="E279" s="2" t="s">
        <v>3</v>
      </c>
    </row>
    <row r="280" spans="2:5" x14ac:dyDescent="0.3">
      <c r="B280" s="3" t="s">
        <v>4</v>
      </c>
      <c r="C280" s="1">
        <f>123552.78+36926.77</f>
        <v>160479.54999999999</v>
      </c>
      <c r="D280" s="1">
        <f>103201.31+36926.77</f>
        <v>140128.07999999999</v>
      </c>
      <c r="E280" s="1">
        <v>305141.07</v>
      </c>
    </row>
    <row r="281" spans="2:5" x14ac:dyDescent="0.3">
      <c r="B281" s="49" t="s">
        <v>10</v>
      </c>
      <c r="C281" s="50"/>
      <c r="D281" s="51"/>
      <c r="E281" s="1">
        <f>C280-E280</f>
        <v>-144661.52000000002</v>
      </c>
    </row>
    <row r="283" spans="2:5" ht="28.8" x14ac:dyDescent="0.3">
      <c r="B283" s="60" t="s">
        <v>37</v>
      </c>
      <c r="C283" s="51"/>
      <c r="D283" s="21" t="s">
        <v>41</v>
      </c>
      <c r="E283" s="3"/>
    </row>
    <row r="284" spans="2:5" x14ac:dyDescent="0.3">
      <c r="B284" s="60" t="s">
        <v>38</v>
      </c>
      <c r="C284" s="51"/>
      <c r="D284" s="1">
        <v>0</v>
      </c>
      <c r="E284" s="1"/>
    </row>
    <row r="285" spans="2:5" x14ac:dyDescent="0.3">
      <c r="B285" s="52" t="s">
        <v>451</v>
      </c>
      <c r="C285" s="51"/>
      <c r="D285" s="39">
        <v>278403.33</v>
      </c>
      <c r="E285" s="1"/>
    </row>
    <row r="286" spans="2:5" ht="15.6" x14ac:dyDescent="0.3">
      <c r="B286" s="52" t="s">
        <v>452</v>
      </c>
      <c r="C286" s="51"/>
      <c r="D286" s="32">
        <v>1408.54</v>
      </c>
      <c r="E286" s="1"/>
    </row>
    <row r="287" spans="2:5" ht="15.6" x14ac:dyDescent="0.3">
      <c r="B287" s="44" t="s">
        <v>455</v>
      </c>
      <c r="C287" s="44"/>
      <c r="D287" s="34">
        <v>1300.8399999999999</v>
      </c>
      <c r="E287" s="1"/>
    </row>
    <row r="288" spans="2:5" x14ac:dyDescent="0.3">
      <c r="B288" s="60" t="s">
        <v>40</v>
      </c>
      <c r="C288" s="51"/>
      <c r="D288" s="1">
        <v>0</v>
      </c>
      <c r="E288" s="1"/>
    </row>
    <row r="289" spans="2:5" ht="15.6" x14ac:dyDescent="0.3">
      <c r="B289" s="52" t="s">
        <v>453</v>
      </c>
      <c r="C289" s="51"/>
      <c r="D289" s="36">
        <f>3540.83+1128.78</f>
        <v>4669.6099999999997</v>
      </c>
      <c r="E289" s="1"/>
    </row>
    <row r="290" spans="2:5" x14ac:dyDescent="0.3">
      <c r="B290" s="52" t="s">
        <v>450</v>
      </c>
      <c r="C290" s="51"/>
      <c r="D290" s="39">
        <f>2140.66+11682.8</f>
        <v>13823.46</v>
      </c>
      <c r="E290" s="1"/>
    </row>
    <row r="291" spans="2:5" x14ac:dyDescent="0.3">
      <c r="B291" s="61" t="s">
        <v>47</v>
      </c>
      <c r="C291" s="51"/>
      <c r="D291" s="1">
        <v>0</v>
      </c>
      <c r="E291" s="1"/>
    </row>
    <row r="292" spans="2:5" ht="15.6" x14ac:dyDescent="0.3">
      <c r="B292" s="52" t="s">
        <v>204</v>
      </c>
      <c r="C292" s="51"/>
      <c r="D292" s="32">
        <v>574.28</v>
      </c>
      <c r="E292" s="1"/>
    </row>
    <row r="293" spans="2:5" ht="15.6" x14ac:dyDescent="0.3">
      <c r="B293" s="52" t="s">
        <v>428</v>
      </c>
      <c r="C293" s="51"/>
      <c r="D293" s="32">
        <v>385.95</v>
      </c>
      <c r="E293" s="1"/>
    </row>
    <row r="294" spans="2:5" x14ac:dyDescent="0.3">
      <c r="B294" s="52"/>
      <c r="C294" s="51"/>
      <c r="D294" s="1">
        <v>0</v>
      </c>
      <c r="E294" s="1"/>
    </row>
    <row r="295" spans="2:5" x14ac:dyDescent="0.3">
      <c r="B295" s="56" t="s">
        <v>52</v>
      </c>
      <c r="C295" s="57"/>
      <c r="D295" s="1">
        <v>0</v>
      </c>
      <c r="E295" s="1"/>
    </row>
    <row r="296" spans="2:5" ht="15.6" x14ac:dyDescent="0.3">
      <c r="B296" s="52" t="s">
        <v>454</v>
      </c>
      <c r="C296" s="51"/>
      <c r="D296" s="32">
        <v>1421.72</v>
      </c>
      <c r="E296" s="1"/>
    </row>
    <row r="297" spans="2:5" ht="15.6" x14ac:dyDescent="0.3">
      <c r="B297" s="52" t="s">
        <v>270</v>
      </c>
      <c r="C297" s="51"/>
      <c r="D297" s="37">
        <f>12613.34
/4</f>
        <v>3153.335</v>
      </c>
      <c r="E297" s="1"/>
    </row>
    <row r="298" spans="2:5" x14ac:dyDescent="0.3">
      <c r="B298" s="59" t="s">
        <v>42</v>
      </c>
      <c r="C298" s="51"/>
      <c r="D298" s="38">
        <f>SUM(D284:D297)</f>
        <v>305141.06500000006</v>
      </c>
      <c r="E298" s="1"/>
    </row>
    <row r="299" spans="2:5" x14ac:dyDescent="0.3">
      <c r="B299" s="14"/>
      <c r="C299" s="14"/>
      <c r="D299" s="14"/>
      <c r="E299" s="14"/>
    </row>
    <row r="300" spans="2:5" x14ac:dyDescent="0.3">
      <c r="B300" t="s">
        <v>11</v>
      </c>
    </row>
    <row r="301" spans="2:5" x14ac:dyDescent="0.3">
      <c r="B301" t="s">
        <v>12</v>
      </c>
      <c r="C301" t="s">
        <v>13</v>
      </c>
    </row>
    <row r="303" spans="2:5" ht="15.6" x14ac:dyDescent="0.3">
      <c r="C303" s="4" t="s">
        <v>6</v>
      </c>
      <c r="D303" s="4"/>
    </row>
    <row r="304" spans="2:5" x14ac:dyDescent="0.3">
      <c r="B304" s="5" t="s">
        <v>7</v>
      </c>
      <c r="C304" s="5"/>
      <c r="D304" s="5"/>
      <c r="E304" s="5"/>
    </row>
    <row r="305" spans="2:5" x14ac:dyDescent="0.3">
      <c r="B305" s="5"/>
      <c r="C305" s="5" t="s">
        <v>30</v>
      </c>
      <c r="D305" s="5"/>
      <c r="E305" s="5"/>
    </row>
    <row r="306" spans="2:5" x14ac:dyDescent="0.3">
      <c r="B306" t="s">
        <v>163</v>
      </c>
      <c r="C306" t="s">
        <v>180</v>
      </c>
      <c r="D306" s="6">
        <v>14</v>
      </c>
    </row>
    <row r="309" spans="2:5" ht="28.8" x14ac:dyDescent="0.3">
      <c r="B309" s="1" t="s">
        <v>0</v>
      </c>
      <c r="C309" s="2" t="s">
        <v>1</v>
      </c>
      <c r="D309" s="2" t="s">
        <v>2</v>
      </c>
      <c r="E309" s="2" t="s">
        <v>3</v>
      </c>
    </row>
    <row r="310" spans="2:5" x14ac:dyDescent="0.3">
      <c r="B310" s="3" t="s">
        <v>4</v>
      </c>
      <c r="C310" s="1">
        <f>19377.12+69549.58</f>
        <v>88926.7</v>
      </c>
      <c r="D310" s="1">
        <v>17614.990000000002</v>
      </c>
      <c r="E310" s="1">
        <v>4682.41</v>
      </c>
    </row>
    <row r="311" spans="2:5" x14ac:dyDescent="0.3">
      <c r="B311" s="49" t="s">
        <v>10</v>
      </c>
      <c r="C311" s="50"/>
      <c r="D311" s="51"/>
      <c r="E311" s="1">
        <f>C310-E310</f>
        <v>84244.29</v>
      </c>
    </row>
    <row r="313" spans="2:5" ht="28.8" x14ac:dyDescent="0.3">
      <c r="B313" s="60" t="s">
        <v>37</v>
      </c>
      <c r="C313" s="51"/>
      <c r="D313" s="21" t="s">
        <v>41</v>
      </c>
      <c r="E313" s="3"/>
    </row>
    <row r="314" spans="2:5" x14ac:dyDescent="0.3">
      <c r="B314" s="60" t="s">
        <v>38</v>
      </c>
      <c r="C314" s="51"/>
      <c r="D314" s="1">
        <v>0</v>
      </c>
      <c r="E314" s="1"/>
    </row>
    <row r="315" spans="2:5" ht="15.6" x14ac:dyDescent="0.3">
      <c r="B315" s="52" t="s">
        <v>456</v>
      </c>
      <c r="C315" s="51"/>
      <c r="D315" s="32">
        <v>4543.47</v>
      </c>
      <c r="E315" s="1"/>
    </row>
    <row r="316" spans="2:5" x14ac:dyDescent="0.3">
      <c r="B316" s="52"/>
      <c r="C316" s="51"/>
      <c r="D316" s="1">
        <v>0</v>
      </c>
      <c r="E316" s="1"/>
    </row>
    <row r="317" spans="2:5" x14ac:dyDescent="0.3">
      <c r="B317" s="60" t="s">
        <v>40</v>
      </c>
      <c r="C317" s="51"/>
      <c r="D317" s="1">
        <v>0</v>
      </c>
      <c r="E317" s="1"/>
    </row>
    <row r="318" spans="2:5" x14ac:dyDescent="0.3">
      <c r="B318" s="52"/>
      <c r="C318" s="51"/>
      <c r="D318" s="1">
        <v>0</v>
      </c>
      <c r="E318" s="1"/>
    </row>
    <row r="319" spans="2:5" x14ac:dyDescent="0.3">
      <c r="B319" s="52"/>
      <c r="C319" s="51"/>
      <c r="D319" s="1">
        <v>0</v>
      </c>
      <c r="E319" s="1"/>
    </row>
    <row r="320" spans="2:5" x14ac:dyDescent="0.3">
      <c r="B320" s="61" t="s">
        <v>47</v>
      </c>
      <c r="C320" s="51"/>
      <c r="D320" s="1">
        <v>0</v>
      </c>
      <c r="E320" s="1"/>
    </row>
    <row r="321" spans="2:5" ht="15.6" x14ac:dyDescent="0.3">
      <c r="B321" s="52" t="s">
        <v>262</v>
      </c>
      <c r="C321" s="51"/>
      <c r="D321" s="34">
        <v>138.94</v>
      </c>
      <c r="E321" s="1"/>
    </row>
    <row r="322" spans="2:5" x14ac:dyDescent="0.3">
      <c r="B322" s="52"/>
      <c r="C322" s="51"/>
      <c r="D322" s="1"/>
      <c r="E322" s="1"/>
    </row>
    <row r="323" spans="2:5" x14ac:dyDescent="0.3">
      <c r="B323" s="52"/>
      <c r="C323" s="51"/>
      <c r="D323" s="1">
        <v>0</v>
      </c>
      <c r="E323" s="1"/>
    </row>
    <row r="324" spans="2:5" x14ac:dyDescent="0.3">
      <c r="B324" s="56" t="s">
        <v>52</v>
      </c>
      <c r="C324" s="57"/>
      <c r="D324" s="1">
        <v>0</v>
      </c>
      <c r="E324" s="1"/>
    </row>
    <row r="325" spans="2:5" x14ac:dyDescent="0.3">
      <c r="B325" s="52" t="s">
        <v>53</v>
      </c>
      <c r="C325" s="51"/>
      <c r="D325" s="1"/>
      <c r="E325" s="1"/>
    </row>
    <row r="326" spans="2:5" x14ac:dyDescent="0.3">
      <c r="B326" s="52"/>
      <c r="C326" s="51"/>
      <c r="D326" s="1">
        <v>0</v>
      </c>
      <c r="E326" s="1"/>
    </row>
    <row r="327" spans="2:5" x14ac:dyDescent="0.3">
      <c r="B327" s="59" t="s">
        <v>42</v>
      </c>
      <c r="C327" s="51"/>
      <c r="D327" s="3">
        <f>SUM(D314:D326)</f>
        <v>4682.41</v>
      </c>
      <c r="E327" s="1"/>
    </row>
    <row r="328" spans="2:5" x14ac:dyDescent="0.3">
      <c r="B328" s="14"/>
      <c r="C328" s="14"/>
      <c r="D328" s="14"/>
      <c r="E328" s="14"/>
    </row>
    <row r="329" spans="2:5" x14ac:dyDescent="0.3">
      <c r="B329" t="s">
        <v>11</v>
      </c>
    </row>
    <row r="330" spans="2:5" x14ac:dyDescent="0.3">
      <c r="B330" t="s">
        <v>12</v>
      </c>
      <c r="C330" t="s">
        <v>13</v>
      </c>
    </row>
    <row r="333" spans="2:5" ht="15.6" x14ac:dyDescent="0.3">
      <c r="C333" s="4" t="s">
        <v>6</v>
      </c>
      <c r="D333" s="4"/>
    </row>
    <row r="334" spans="2:5" x14ac:dyDescent="0.3">
      <c r="B334" s="5" t="s">
        <v>7</v>
      </c>
      <c r="C334" s="5"/>
      <c r="D334" s="5"/>
      <c r="E334" s="5"/>
    </row>
    <row r="335" spans="2:5" x14ac:dyDescent="0.3">
      <c r="B335" s="5"/>
      <c r="C335" s="5" t="s">
        <v>30</v>
      </c>
      <c r="D335" s="5"/>
      <c r="E335" s="5"/>
    </row>
    <row r="336" spans="2:5" x14ac:dyDescent="0.3">
      <c r="B336" t="s">
        <v>163</v>
      </c>
      <c r="C336" t="s">
        <v>180</v>
      </c>
      <c r="D336" s="6">
        <v>15</v>
      </c>
    </row>
    <row r="339" spans="2:5" ht="28.8" x14ac:dyDescent="0.3">
      <c r="B339" s="1" t="s">
        <v>0</v>
      </c>
      <c r="C339" s="2" t="s">
        <v>1</v>
      </c>
      <c r="D339" s="2" t="s">
        <v>2</v>
      </c>
      <c r="E339" s="2" t="s">
        <v>3</v>
      </c>
    </row>
    <row r="340" spans="2:5" x14ac:dyDescent="0.3">
      <c r="B340" s="3" t="s">
        <v>4</v>
      </c>
      <c r="C340" s="1">
        <v>144666.35999999999</v>
      </c>
      <c r="D340" s="1">
        <v>124162.02</v>
      </c>
      <c r="E340" s="1">
        <v>52278.7</v>
      </c>
    </row>
    <row r="341" spans="2:5" x14ac:dyDescent="0.3">
      <c r="B341" s="49" t="s">
        <v>10</v>
      </c>
      <c r="C341" s="50"/>
      <c r="D341" s="51"/>
      <c r="E341" s="1">
        <f>C340-E340</f>
        <v>92387.659999999989</v>
      </c>
    </row>
    <row r="343" spans="2:5" ht="28.8" x14ac:dyDescent="0.3">
      <c r="B343" s="60" t="s">
        <v>37</v>
      </c>
      <c r="C343" s="51"/>
      <c r="D343" s="21" t="s">
        <v>41</v>
      </c>
      <c r="E343" s="3"/>
    </row>
    <row r="344" spans="2:5" x14ac:dyDescent="0.3">
      <c r="B344" s="60" t="s">
        <v>38</v>
      </c>
      <c r="C344" s="51"/>
      <c r="D344" s="1">
        <v>0</v>
      </c>
      <c r="E344" s="1"/>
    </row>
    <row r="345" spans="2:5" x14ac:dyDescent="0.3">
      <c r="B345" s="52" t="s">
        <v>457</v>
      </c>
      <c r="C345" s="51"/>
      <c r="D345" s="27">
        <v>42182.45</v>
      </c>
      <c r="E345" s="1"/>
    </row>
    <row r="346" spans="2:5" x14ac:dyDescent="0.3">
      <c r="B346" s="52"/>
      <c r="C346" s="51"/>
      <c r="D346" s="1">
        <v>0</v>
      </c>
      <c r="E346" s="1"/>
    </row>
    <row r="347" spans="2:5" x14ac:dyDescent="0.3">
      <c r="B347" s="60" t="s">
        <v>40</v>
      </c>
      <c r="C347" s="51"/>
      <c r="D347" s="1">
        <v>0</v>
      </c>
      <c r="E347" s="1"/>
    </row>
    <row r="348" spans="2:5" x14ac:dyDescent="0.3">
      <c r="B348" s="52" t="s">
        <v>378</v>
      </c>
      <c r="C348" s="51"/>
      <c r="D348" s="27">
        <v>1897.95</v>
      </c>
      <c r="E348" s="1"/>
    </row>
    <row r="349" spans="2:5" x14ac:dyDescent="0.3">
      <c r="B349" s="52" t="s">
        <v>154</v>
      </c>
      <c r="C349" s="51"/>
      <c r="D349" s="27">
        <v>2249</v>
      </c>
      <c r="E349" s="1"/>
    </row>
    <row r="350" spans="2:5" x14ac:dyDescent="0.3">
      <c r="B350" s="61" t="s">
        <v>47</v>
      </c>
      <c r="C350" s="51"/>
      <c r="D350" s="1">
        <v>0</v>
      </c>
      <c r="E350" s="1"/>
    </row>
    <row r="351" spans="2:5" x14ac:dyDescent="0.3">
      <c r="B351" s="52" t="s">
        <v>238</v>
      </c>
      <c r="C351" s="51"/>
      <c r="D351" s="27">
        <v>306.89999999999998</v>
      </c>
      <c r="E351" s="1"/>
    </row>
    <row r="352" spans="2:5" x14ac:dyDescent="0.3">
      <c r="B352" s="52"/>
      <c r="C352" s="51"/>
      <c r="D352" s="1"/>
      <c r="E352" s="1"/>
    </row>
    <row r="353" spans="2:5" x14ac:dyDescent="0.3">
      <c r="B353" s="52"/>
      <c r="C353" s="51"/>
      <c r="D353" s="1">
        <v>0</v>
      </c>
      <c r="E353" s="1"/>
    </row>
    <row r="354" spans="2:5" x14ac:dyDescent="0.3">
      <c r="B354" s="56" t="s">
        <v>52</v>
      </c>
      <c r="C354" s="57"/>
      <c r="D354" s="1">
        <v>0</v>
      </c>
      <c r="E354" s="1"/>
    </row>
    <row r="355" spans="2:5" ht="15.6" x14ac:dyDescent="0.3">
      <c r="B355" s="52" t="s">
        <v>53</v>
      </c>
      <c r="C355" s="51"/>
      <c r="D355" s="34">
        <v>5642.4</v>
      </c>
      <c r="E355" s="1"/>
    </row>
    <row r="356" spans="2:5" x14ac:dyDescent="0.3">
      <c r="B356" s="52"/>
      <c r="C356" s="51"/>
      <c r="D356" s="1">
        <v>0</v>
      </c>
      <c r="E356" s="1"/>
    </row>
    <row r="357" spans="2:5" x14ac:dyDescent="0.3">
      <c r="B357" s="59" t="s">
        <v>42</v>
      </c>
      <c r="C357" s="51"/>
      <c r="D357" s="3">
        <f>SUM(D344:D356)</f>
        <v>52278.7</v>
      </c>
      <c r="E357" s="1"/>
    </row>
    <row r="358" spans="2:5" x14ac:dyDescent="0.3">
      <c r="B358" s="14"/>
      <c r="C358" s="14"/>
      <c r="D358" s="14"/>
      <c r="E358" s="14"/>
    </row>
    <row r="359" spans="2:5" x14ac:dyDescent="0.3">
      <c r="B359" t="s">
        <v>11</v>
      </c>
    </row>
    <row r="360" spans="2:5" x14ac:dyDescent="0.3">
      <c r="B360" t="s">
        <v>12</v>
      </c>
      <c r="C360" t="s">
        <v>13</v>
      </c>
    </row>
    <row r="362" spans="2:5" ht="15.6" x14ac:dyDescent="0.3">
      <c r="C362" s="4" t="s">
        <v>6</v>
      </c>
      <c r="D362" s="4"/>
    </row>
    <row r="363" spans="2:5" x14ac:dyDescent="0.3">
      <c r="B363" s="5" t="s">
        <v>7</v>
      </c>
      <c r="C363" s="5"/>
      <c r="D363" s="5"/>
      <c r="E363" s="5"/>
    </row>
    <row r="364" spans="2:5" x14ac:dyDescent="0.3">
      <c r="B364" s="5"/>
      <c r="C364" s="5" t="s">
        <v>30</v>
      </c>
      <c r="D364" s="5"/>
      <c r="E364" s="5"/>
    </row>
    <row r="365" spans="2:5" x14ac:dyDescent="0.3">
      <c r="B365" t="s">
        <v>163</v>
      </c>
      <c r="C365" t="s">
        <v>180</v>
      </c>
      <c r="D365" s="6">
        <v>16</v>
      </c>
    </row>
    <row r="368" spans="2:5" ht="28.8" x14ac:dyDescent="0.3">
      <c r="B368" s="1" t="s">
        <v>0</v>
      </c>
      <c r="C368" s="2" t="s">
        <v>1</v>
      </c>
      <c r="D368" s="2" t="s">
        <v>2</v>
      </c>
      <c r="E368" s="2" t="s">
        <v>3</v>
      </c>
    </row>
    <row r="369" spans="2:5" x14ac:dyDescent="0.3">
      <c r="B369" s="3" t="s">
        <v>4</v>
      </c>
      <c r="C369" s="1">
        <f>210113.88+2975.51</f>
        <v>213089.39</v>
      </c>
      <c r="D369" s="1">
        <f>187660.99+2975.51</f>
        <v>190636.5</v>
      </c>
      <c r="E369" s="1">
        <v>502492.55</v>
      </c>
    </row>
    <row r="370" spans="2:5" x14ac:dyDescent="0.3">
      <c r="B370" s="49" t="s">
        <v>10</v>
      </c>
      <c r="C370" s="50"/>
      <c r="D370" s="51"/>
      <c r="E370" s="1">
        <f>C369-E369</f>
        <v>-289403.15999999997</v>
      </c>
    </row>
    <row r="372" spans="2:5" ht="28.8" x14ac:dyDescent="0.3">
      <c r="B372" s="60" t="s">
        <v>37</v>
      </c>
      <c r="C372" s="51"/>
      <c r="D372" s="21" t="s">
        <v>41</v>
      </c>
      <c r="E372" s="3"/>
    </row>
    <row r="373" spans="2:5" x14ac:dyDescent="0.3">
      <c r="B373" s="60" t="s">
        <v>38</v>
      </c>
      <c r="C373" s="51"/>
      <c r="D373" s="1">
        <v>0</v>
      </c>
      <c r="E373" s="1"/>
    </row>
    <row r="374" spans="2:5" ht="15.6" x14ac:dyDescent="0.3">
      <c r="B374" s="52" t="s">
        <v>218</v>
      </c>
      <c r="C374" s="51"/>
      <c r="D374" s="34">
        <v>2809.81</v>
      </c>
      <c r="E374" s="1"/>
    </row>
    <row r="375" spans="2:5" x14ac:dyDescent="0.3">
      <c r="B375" s="52" t="s">
        <v>458</v>
      </c>
      <c r="C375" s="51"/>
      <c r="D375" s="33">
        <f>407544.86+3152.46</f>
        <v>410697.32</v>
      </c>
      <c r="E375" s="1"/>
    </row>
    <row r="376" spans="2:5" ht="16.8" customHeight="1" x14ac:dyDescent="0.3">
      <c r="B376" s="84" t="s">
        <v>459</v>
      </c>
      <c r="C376" s="51"/>
      <c r="D376" s="33">
        <f>322.09+2084.72+3135.33+2327.64</f>
        <v>7869.7799999999988</v>
      </c>
      <c r="E376" s="1"/>
    </row>
    <row r="377" spans="2:5" ht="16.8" customHeight="1" x14ac:dyDescent="0.3">
      <c r="B377" s="72" t="s">
        <v>461</v>
      </c>
      <c r="C377" s="64"/>
      <c r="D377" s="32">
        <v>1125.69</v>
      </c>
      <c r="E377" s="1"/>
    </row>
    <row r="378" spans="2:5" x14ac:dyDescent="0.3">
      <c r="B378" s="60" t="s">
        <v>40</v>
      </c>
      <c r="C378" s="51"/>
      <c r="D378" s="1">
        <v>0</v>
      </c>
      <c r="E378" s="1"/>
    </row>
    <row r="379" spans="2:5" ht="15.6" x14ac:dyDescent="0.3">
      <c r="B379" s="52" t="s">
        <v>113</v>
      </c>
      <c r="C379" s="51"/>
      <c r="D379" s="31">
        <v>69671.649999999994</v>
      </c>
      <c r="E379" s="1"/>
    </row>
    <row r="380" spans="2:5" x14ac:dyDescent="0.3">
      <c r="B380" s="52" t="s">
        <v>435</v>
      </c>
      <c r="C380" s="51"/>
      <c r="D380" s="27">
        <v>2914.55</v>
      </c>
      <c r="E380" s="1"/>
    </row>
    <row r="381" spans="2:5" x14ac:dyDescent="0.3">
      <c r="B381" s="61" t="s">
        <v>47</v>
      </c>
      <c r="C381" s="51"/>
      <c r="D381" s="1">
        <v>0</v>
      </c>
      <c r="E381" s="1"/>
    </row>
    <row r="382" spans="2:5" ht="15.6" x14ac:dyDescent="0.3">
      <c r="B382" s="52" t="s">
        <v>358</v>
      </c>
      <c r="C382" s="51"/>
      <c r="D382" s="34">
        <v>314.8</v>
      </c>
      <c r="E382" s="1"/>
    </row>
    <row r="383" spans="2:5" x14ac:dyDescent="0.3">
      <c r="B383" s="52" t="s">
        <v>460</v>
      </c>
      <c r="C383" s="51"/>
      <c r="D383" s="33">
        <f>4526.3+2417.2+145.45</f>
        <v>7088.95</v>
      </c>
      <c r="E383" s="1"/>
    </row>
    <row r="384" spans="2:5" x14ac:dyDescent="0.3">
      <c r="B384" s="52"/>
      <c r="C384" s="51"/>
      <c r="D384" s="1">
        <v>0</v>
      </c>
      <c r="E384" s="1"/>
    </row>
    <row r="385" spans="2:5" x14ac:dyDescent="0.3">
      <c r="B385" s="56" t="s">
        <v>52</v>
      </c>
      <c r="C385" s="57"/>
      <c r="D385" s="1">
        <v>0</v>
      </c>
      <c r="E385" s="1"/>
    </row>
    <row r="386" spans="2:5" x14ac:dyDescent="0.3">
      <c r="B386" s="52" t="s">
        <v>53</v>
      </c>
      <c r="C386" s="51"/>
      <c r="D386" s="1"/>
      <c r="E386" s="1"/>
    </row>
    <row r="387" spans="2:5" x14ac:dyDescent="0.3">
      <c r="B387" s="52"/>
      <c r="C387" s="51"/>
      <c r="D387" s="1">
        <v>0</v>
      </c>
      <c r="E387" s="1"/>
    </row>
    <row r="388" spans="2:5" x14ac:dyDescent="0.3">
      <c r="B388" s="59" t="s">
        <v>42</v>
      </c>
      <c r="C388" s="51"/>
      <c r="D388" s="3">
        <f>SUM(D373:D387)</f>
        <v>502492.55</v>
      </c>
      <c r="E388" s="1"/>
    </row>
    <row r="389" spans="2:5" x14ac:dyDescent="0.3">
      <c r="B389" s="14"/>
      <c r="C389" s="14"/>
      <c r="D389" s="14"/>
      <c r="E389" s="14"/>
    </row>
    <row r="390" spans="2:5" x14ac:dyDescent="0.3">
      <c r="B390" t="s">
        <v>11</v>
      </c>
    </row>
    <row r="391" spans="2:5" x14ac:dyDescent="0.3">
      <c r="B391" t="s">
        <v>12</v>
      </c>
      <c r="C391" t="s">
        <v>13</v>
      </c>
    </row>
    <row r="393" spans="2:5" ht="15.6" x14ac:dyDescent="0.3">
      <c r="C393" s="4" t="s">
        <v>6</v>
      </c>
      <c r="D393" s="4"/>
    </row>
    <row r="394" spans="2:5" x14ac:dyDescent="0.3">
      <c r="B394" s="5" t="s">
        <v>7</v>
      </c>
      <c r="C394" s="5"/>
      <c r="D394" s="5"/>
      <c r="E394" s="5"/>
    </row>
    <row r="395" spans="2:5" x14ac:dyDescent="0.3">
      <c r="B395" s="5"/>
      <c r="C395" s="5" t="s">
        <v>30</v>
      </c>
      <c r="D395" s="5"/>
      <c r="E395" s="5"/>
    </row>
    <row r="396" spans="2:5" x14ac:dyDescent="0.3">
      <c r="B396" t="s">
        <v>163</v>
      </c>
      <c r="C396" t="s">
        <v>180</v>
      </c>
      <c r="D396" s="6">
        <v>17</v>
      </c>
    </row>
    <row r="399" spans="2:5" ht="28.8" x14ac:dyDescent="0.3">
      <c r="B399" s="1" t="s">
        <v>0</v>
      </c>
      <c r="C399" s="2" t="s">
        <v>1</v>
      </c>
      <c r="D399" s="2" t="s">
        <v>2</v>
      </c>
      <c r="E399" s="2" t="s">
        <v>3</v>
      </c>
    </row>
    <row r="400" spans="2:5" x14ac:dyDescent="0.3">
      <c r="B400" s="3" t="s">
        <v>4</v>
      </c>
      <c r="C400" s="1">
        <v>137177.28</v>
      </c>
      <c r="D400" s="1">
        <v>120051.03</v>
      </c>
      <c r="E400" s="1">
        <v>229327.35999999999</v>
      </c>
    </row>
    <row r="401" spans="2:5" x14ac:dyDescent="0.3">
      <c r="B401" s="49" t="s">
        <v>10</v>
      </c>
      <c r="C401" s="50"/>
      <c r="D401" s="51"/>
      <c r="E401" s="1">
        <f>C400-E400</f>
        <v>-92150.079999999987</v>
      </c>
    </row>
    <row r="403" spans="2:5" ht="28.8" x14ac:dyDescent="0.3">
      <c r="B403" s="60" t="s">
        <v>37</v>
      </c>
      <c r="C403" s="51"/>
      <c r="D403" s="21" t="s">
        <v>41</v>
      </c>
      <c r="E403" s="3"/>
    </row>
    <row r="404" spans="2:5" x14ac:dyDescent="0.3">
      <c r="B404" s="60" t="s">
        <v>38</v>
      </c>
      <c r="C404" s="51"/>
      <c r="D404" s="1">
        <v>0</v>
      </c>
      <c r="E404" s="1"/>
    </row>
    <row r="405" spans="2:5" x14ac:dyDescent="0.3">
      <c r="B405" s="52" t="s">
        <v>194</v>
      </c>
      <c r="C405" s="51"/>
      <c r="D405" s="1">
        <f>837.74+837.74</f>
        <v>1675.48</v>
      </c>
      <c r="E405" s="1"/>
    </row>
    <row r="406" spans="2:5" x14ac:dyDescent="0.3">
      <c r="B406" s="52" t="s">
        <v>463</v>
      </c>
      <c r="C406" s="51"/>
      <c r="D406" s="33">
        <v>3082.82</v>
      </c>
      <c r="E406" s="1"/>
    </row>
    <row r="407" spans="2:5" x14ac:dyDescent="0.3">
      <c r="B407" s="52" t="s">
        <v>467</v>
      </c>
      <c r="C407" s="51"/>
      <c r="D407" s="33">
        <f>737.38+10471.88</f>
        <v>11209.259999999998</v>
      </c>
      <c r="E407" s="1"/>
    </row>
    <row r="408" spans="2:5" ht="26.4" customHeight="1" x14ac:dyDescent="0.3">
      <c r="B408" s="52" t="s">
        <v>464</v>
      </c>
      <c r="C408" s="51"/>
      <c r="D408" s="27">
        <f>2625.04+123433.23</f>
        <v>126058.26999999999</v>
      </c>
      <c r="E408" s="1"/>
    </row>
    <row r="409" spans="2:5" x14ac:dyDescent="0.3">
      <c r="B409" s="52"/>
      <c r="C409" s="51"/>
      <c r="D409" s="33"/>
      <c r="E409" s="1"/>
    </row>
    <row r="410" spans="2:5" x14ac:dyDescent="0.3">
      <c r="B410" s="60" t="s">
        <v>40</v>
      </c>
      <c r="C410" s="51"/>
      <c r="D410" s="1">
        <v>0</v>
      </c>
      <c r="E410" s="1"/>
    </row>
    <row r="411" spans="2:5" x14ac:dyDescent="0.3">
      <c r="B411" s="52" t="s">
        <v>465</v>
      </c>
      <c r="C411" s="51"/>
      <c r="D411" s="27">
        <v>79913.69</v>
      </c>
      <c r="E411" s="1"/>
    </row>
    <row r="412" spans="2:5" ht="15.6" x14ac:dyDescent="0.3">
      <c r="B412" s="52" t="s">
        <v>466</v>
      </c>
      <c r="C412" s="51"/>
      <c r="D412" s="32">
        <v>1969.56</v>
      </c>
      <c r="E412" s="1"/>
    </row>
    <row r="413" spans="2:5" x14ac:dyDescent="0.3">
      <c r="B413" s="61" t="s">
        <v>47</v>
      </c>
      <c r="C413" s="51"/>
      <c r="D413" s="1">
        <v>0</v>
      </c>
      <c r="E413" s="1"/>
    </row>
    <row r="414" spans="2:5" ht="15.6" x14ac:dyDescent="0.3">
      <c r="B414" s="52" t="s">
        <v>462</v>
      </c>
      <c r="C414" s="51"/>
      <c r="D414" s="32">
        <f>1745.71+227.27</f>
        <v>1972.98</v>
      </c>
      <c r="E414" s="1"/>
    </row>
    <row r="415" spans="2:5" ht="15.6" x14ac:dyDescent="0.3">
      <c r="B415" s="52" t="s">
        <v>304</v>
      </c>
      <c r="C415" s="51"/>
      <c r="D415" s="34">
        <f>879.98+1123.93+1298.36</f>
        <v>3302.27</v>
      </c>
      <c r="E415" s="1"/>
    </row>
    <row r="416" spans="2:5" x14ac:dyDescent="0.3">
      <c r="B416" s="52" t="s">
        <v>204</v>
      </c>
      <c r="C416" s="51"/>
      <c r="D416" s="33">
        <v>143.03</v>
      </c>
      <c r="E416" s="1"/>
    </row>
    <row r="417" spans="2:5" x14ac:dyDescent="0.3">
      <c r="B417" s="56" t="s">
        <v>52</v>
      </c>
      <c r="C417" s="57"/>
      <c r="D417" s="1">
        <v>0</v>
      </c>
      <c r="E417" s="1"/>
    </row>
    <row r="418" spans="2:5" x14ac:dyDescent="0.3">
      <c r="B418" s="52" t="s">
        <v>53</v>
      </c>
      <c r="C418" s="51"/>
      <c r="D418" s="1"/>
      <c r="E418" s="1"/>
    </row>
    <row r="419" spans="2:5" x14ac:dyDescent="0.3">
      <c r="B419" s="52"/>
      <c r="C419" s="51"/>
      <c r="D419" s="1">
        <v>0</v>
      </c>
      <c r="E419" s="1"/>
    </row>
    <row r="420" spans="2:5" x14ac:dyDescent="0.3">
      <c r="B420" s="59" t="s">
        <v>42</v>
      </c>
      <c r="C420" s="51"/>
      <c r="D420" s="3">
        <f>SUM(D404:D419)</f>
        <v>229327.35999999999</v>
      </c>
      <c r="E420" s="1"/>
    </row>
    <row r="421" spans="2:5" x14ac:dyDescent="0.3">
      <c r="B421" s="14"/>
      <c r="C421" s="14"/>
      <c r="D421" s="14"/>
      <c r="E421" s="14"/>
    </row>
    <row r="422" spans="2:5" x14ac:dyDescent="0.3">
      <c r="B422" t="s">
        <v>11</v>
      </c>
    </row>
    <row r="423" spans="2:5" x14ac:dyDescent="0.3">
      <c r="B423" t="s">
        <v>12</v>
      </c>
      <c r="C423" t="s">
        <v>13</v>
      </c>
    </row>
    <row r="426" spans="2:5" ht="15.6" x14ac:dyDescent="0.3">
      <c r="C426" s="4" t="s">
        <v>6</v>
      </c>
      <c r="D426" s="4"/>
    </row>
    <row r="427" spans="2:5" x14ac:dyDescent="0.3">
      <c r="B427" s="5" t="s">
        <v>7</v>
      </c>
      <c r="C427" s="5"/>
      <c r="D427" s="5"/>
      <c r="E427" s="5"/>
    </row>
    <row r="428" spans="2:5" x14ac:dyDescent="0.3">
      <c r="B428" s="5"/>
      <c r="C428" s="5" t="s">
        <v>30</v>
      </c>
      <c r="D428" s="5"/>
      <c r="E428" s="5"/>
    </row>
    <row r="429" spans="2:5" x14ac:dyDescent="0.3">
      <c r="B429" t="s">
        <v>163</v>
      </c>
      <c r="C429" t="s">
        <v>180</v>
      </c>
      <c r="D429" s="6">
        <v>18</v>
      </c>
    </row>
    <row r="432" spans="2:5" ht="28.8" x14ac:dyDescent="0.3">
      <c r="B432" s="1" t="s">
        <v>0</v>
      </c>
      <c r="C432" s="2" t="s">
        <v>1</v>
      </c>
      <c r="D432" s="2" t="s">
        <v>2</v>
      </c>
      <c r="E432" s="2" t="s">
        <v>3</v>
      </c>
    </row>
    <row r="433" spans="2:5" x14ac:dyDescent="0.3">
      <c r="B433" s="3" t="s">
        <v>4</v>
      </c>
      <c r="C433" s="1">
        <v>229327.35999999999</v>
      </c>
      <c r="D433" s="1">
        <v>229327.35999999999</v>
      </c>
      <c r="E433" s="1">
        <v>230313.42</v>
      </c>
    </row>
    <row r="434" spans="2:5" x14ac:dyDescent="0.3">
      <c r="B434" s="49" t="s">
        <v>10</v>
      </c>
      <c r="C434" s="50"/>
      <c r="D434" s="51"/>
      <c r="E434" s="1">
        <f>C433-E433</f>
        <v>-986.06000000002678</v>
      </c>
    </row>
    <row r="436" spans="2:5" ht="28.8" x14ac:dyDescent="0.3">
      <c r="B436" s="60" t="s">
        <v>37</v>
      </c>
      <c r="C436" s="51"/>
      <c r="D436" s="21" t="s">
        <v>41</v>
      </c>
      <c r="E436" s="3"/>
    </row>
    <row r="437" spans="2:5" x14ac:dyDescent="0.3">
      <c r="B437" s="60" t="s">
        <v>38</v>
      </c>
      <c r="C437" s="51"/>
      <c r="D437" s="1">
        <v>0</v>
      </c>
      <c r="E437" s="1"/>
    </row>
    <row r="438" spans="2:5" ht="15.6" x14ac:dyDescent="0.3">
      <c r="B438" s="52" t="s">
        <v>468</v>
      </c>
      <c r="C438" s="51"/>
      <c r="D438" s="36">
        <v>163075.01999999999</v>
      </c>
      <c r="E438" s="1"/>
    </row>
    <row r="439" spans="2:5" ht="15.6" x14ac:dyDescent="0.3">
      <c r="B439" s="52" t="s">
        <v>194</v>
      </c>
      <c r="C439" s="51"/>
      <c r="D439" s="34">
        <f>907.2+322.09</f>
        <v>1229.29</v>
      </c>
      <c r="E439" s="1"/>
    </row>
    <row r="440" spans="2:5" x14ac:dyDescent="0.3">
      <c r="B440" s="60" t="s">
        <v>40</v>
      </c>
      <c r="C440" s="51"/>
      <c r="D440" s="1">
        <v>0</v>
      </c>
      <c r="E440" s="1"/>
    </row>
    <row r="441" spans="2:5" x14ac:dyDescent="0.3">
      <c r="B441" s="52" t="s">
        <v>469</v>
      </c>
      <c r="C441" s="51"/>
      <c r="D441" s="27">
        <v>58591.32</v>
      </c>
      <c r="E441" s="1"/>
    </row>
    <row r="442" spans="2:5" x14ac:dyDescent="0.3">
      <c r="B442" s="52" t="s">
        <v>471</v>
      </c>
      <c r="C442" s="51"/>
      <c r="D442" s="1">
        <f>404.04+675.04</f>
        <v>1079.08</v>
      </c>
      <c r="E442" s="1"/>
    </row>
    <row r="443" spans="2:5" x14ac:dyDescent="0.3">
      <c r="B443" s="61" t="s">
        <v>47</v>
      </c>
      <c r="C443" s="51"/>
      <c r="D443" s="1">
        <v>0</v>
      </c>
      <c r="E443" s="1"/>
    </row>
    <row r="444" spans="2:5" x14ac:dyDescent="0.3">
      <c r="B444" s="52" t="s">
        <v>470</v>
      </c>
      <c r="C444" s="51"/>
      <c r="D444" s="27">
        <f>1755.28+726.45</f>
        <v>2481.73</v>
      </c>
      <c r="E444" s="1"/>
    </row>
    <row r="445" spans="2:5" x14ac:dyDescent="0.3">
      <c r="B445" s="52" t="s">
        <v>394</v>
      </c>
      <c r="C445" s="51"/>
      <c r="D445" s="27">
        <v>330.48</v>
      </c>
      <c r="E445" s="1"/>
    </row>
    <row r="446" spans="2:5" x14ac:dyDescent="0.3">
      <c r="B446" s="52"/>
      <c r="C446" s="51"/>
      <c r="D446" s="1">
        <v>0</v>
      </c>
      <c r="E446" s="1"/>
    </row>
    <row r="447" spans="2:5" x14ac:dyDescent="0.3">
      <c r="B447" s="56" t="s">
        <v>52</v>
      </c>
      <c r="C447" s="57"/>
      <c r="D447" s="1">
        <v>0</v>
      </c>
      <c r="E447" s="1"/>
    </row>
    <row r="448" spans="2:5" ht="15.6" x14ac:dyDescent="0.3">
      <c r="B448" s="52" t="s">
        <v>53</v>
      </c>
      <c r="C448" s="51"/>
      <c r="D448" s="34">
        <v>3526.5</v>
      </c>
      <c r="E448" s="1"/>
    </row>
    <row r="449" spans="2:5" x14ac:dyDescent="0.3">
      <c r="B449" s="52"/>
      <c r="C449" s="51"/>
      <c r="D449" s="1">
        <v>0</v>
      </c>
      <c r="E449" s="1"/>
    </row>
    <row r="450" spans="2:5" x14ac:dyDescent="0.3">
      <c r="B450" s="59" t="s">
        <v>42</v>
      </c>
      <c r="C450" s="51"/>
      <c r="D450" s="3">
        <f>SUM(D437:D449)</f>
        <v>230313.42</v>
      </c>
      <c r="E450" s="1"/>
    </row>
    <row r="451" spans="2:5" x14ac:dyDescent="0.3">
      <c r="B451" s="14"/>
      <c r="C451" s="14"/>
      <c r="D451" s="14"/>
      <c r="E451" s="14"/>
    </row>
    <row r="452" spans="2:5" x14ac:dyDescent="0.3">
      <c r="B452" t="s">
        <v>11</v>
      </c>
    </row>
    <row r="453" spans="2:5" x14ac:dyDescent="0.3">
      <c r="B453" t="s">
        <v>12</v>
      </c>
      <c r="C453" t="s">
        <v>13</v>
      </c>
    </row>
  </sheetData>
  <mergeCells count="230">
    <mergeCell ref="B446:C446"/>
    <mergeCell ref="B447:C447"/>
    <mergeCell ref="B448:C448"/>
    <mergeCell ref="B449:C449"/>
    <mergeCell ref="B450:C450"/>
    <mergeCell ref="B420:C420"/>
    <mergeCell ref="B434:D434"/>
    <mergeCell ref="B436:C436"/>
    <mergeCell ref="B437:C437"/>
    <mergeCell ref="B438:C438"/>
    <mergeCell ref="B439:C439"/>
    <mergeCell ref="B440:C440"/>
    <mergeCell ref="B441:C441"/>
    <mergeCell ref="B442:C442"/>
    <mergeCell ref="B414:C414"/>
    <mergeCell ref="B415:C415"/>
    <mergeCell ref="B416:C416"/>
    <mergeCell ref="B417:C417"/>
    <mergeCell ref="B418:C418"/>
    <mergeCell ref="B419:C419"/>
    <mergeCell ref="B443:C443"/>
    <mergeCell ref="B444:C444"/>
    <mergeCell ref="B445:C445"/>
    <mergeCell ref="B401:D401"/>
    <mergeCell ref="B403:C403"/>
    <mergeCell ref="B404:C404"/>
    <mergeCell ref="B405:C405"/>
    <mergeCell ref="B406:C406"/>
    <mergeCell ref="B410:C410"/>
    <mergeCell ref="B411:C411"/>
    <mergeCell ref="B412:C412"/>
    <mergeCell ref="B413:C413"/>
    <mergeCell ref="B407:C407"/>
    <mergeCell ref="B408:C408"/>
    <mergeCell ref="B409:C40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56:C356"/>
    <mergeCell ref="B357:C357"/>
    <mergeCell ref="B370:D370"/>
    <mergeCell ref="B372:C372"/>
    <mergeCell ref="B373:C373"/>
    <mergeCell ref="B374:C374"/>
    <mergeCell ref="B375:C375"/>
    <mergeCell ref="B378:C378"/>
    <mergeCell ref="B379:C379"/>
    <mergeCell ref="B376:C376"/>
    <mergeCell ref="B377:C377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24:C324"/>
    <mergeCell ref="B325:C325"/>
    <mergeCell ref="B326:C326"/>
    <mergeCell ref="B327:C327"/>
    <mergeCell ref="B341:D341"/>
    <mergeCell ref="B343:C343"/>
    <mergeCell ref="B344:C344"/>
    <mergeCell ref="B345:C345"/>
    <mergeCell ref="B346:C346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11:D11"/>
    <mergeCell ref="B13:C13"/>
    <mergeCell ref="B14:C14"/>
    <mergeCell ref="B15:C15"/>
    <mergeCell ref="B16:C16"/>
    <mergeCell ref="B17:C17"/>
    <mergeCell ref="B311:D311"/>
    <mergeCell ref="B313:C313"/>
    <mergeCell ref="B314:C314"/>
    <mergeCell ref="B24:C24"/>
    <mergeCell ref="B25:C25"/>
    <mergeCell ref="B26:C26"/>
    <mergeCell ref="B27:C27"/>
    <mergeCell ref="B44:D44"/>
    <mergeCell ref="B46:C46"/>
    <mergeCell ref="B18:C18"/>
    <mergeCell ref="B19:C19"/>
    <mergeCell ref="B20:C20"/>
    <mergeCell ref="B21:C21"/>
    <mergeCell ref="B22:C22"/>
    <mergeCell ref="B23:C23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81:C81"/>
    <mergeCell ref="B82:C82"/>
    <mergeCell ref="B83:C83"/>
    <mergeCell ref="B84:C84"/>
    <mergeCell ref="B86:C86"/>
    <mergeCell ref="B87:C87"/>
    <mergeCell ref="B59:C59"/>
    <mergeCell ref="B60:C60"/>
    <mergeCell ref="B76:D76"/>
    <mergeCell ref="B78:C78"/>
    <mergeCell ref="B79:C79"/>
    <mergeCell ref="B80:C80"/>
    <mergeCell ref="B111:D111"/>
    <mergeCell ref="B113:C113"/>
    <mergeCell ref="B114:C114"/>
    <mergeCell ref="B115:C115"/>
    <mergeCell ref="B116:C116"/>
    <mergeCell ref="B117:C117"/>
    <mergeCell ref="B88:C88"/>
    <mergeCell ref="B93:C93"/>
    <mergeCell ref="B90:C90"/>
    <mergeCell ref="B91:C91"/>
    <mergeCell ref="B92:C92"/>
    <mergeCell ref="B94:C94"/>
    <mergeCell ref="B124:C124"/>
    <mergeCell ref="B125:C125"/>
    <mergeCell ref="B126:C126"/>
    <mergeCell ref="B127:C127"/>
    <mergeCell ref="B145:D145"/>
    <mergeCell ref="B147:C147"/>
    <mergeCell ref="B118:C118"/>
    <mergeCell ref="B119:C119"/>
    <mergeCell ref="B120:C120"/>
    <mergeCell ref="B121:C121"/>
    <mergeCell ref="B122:C122"/>
    <mergeCell ref="B123:C123"/>
    <mergeCell ref="B155:C155"/>
    <mergeCell ref="B156:C156"/>
    <mergeCell ref="B157:C157"/>
    <mergeCell ref="B158:C158"/>
    <mergeCell ref="B159:C159"/>
    <mergeCell ref="B160:C160"/>
    <mergeCell ref="B148:C148"/>
    <mergeCell ref="B149:C149"/>
    <mergeCell ref="B150:C150"/>
    <mergeCell ref="B151:C151"/>
    <mergeCell ref="B152:C152"/>
    <mergeCell ref="B153:C153"/>
    <mergeCell ref="B184:C184"/>
    <mergeCell ref="B185:C185"/>
    <mergeCell ref="B186:C186"/>
    <mergeCell ref="B187:C187"/>
    <mergeCell ref="B188:C188"/>
    <mergeCell ref="B189:C189"/>
    <mergeCell ref="B161:C161"/>
    <mergeCell ref="B162:C162"/>
    <mergeCell ref="B179:D179"/>
    <mergeCell ref="B181:C181"/>
    <mergeCell ref="B182:C182"/>
    <mergeCell ref="B183:C183"/>
    <mergeCell ref="B213:D213"/>
    <mergeCell ref="B215:C215"/>
    <mergeCell ref="B216:C216"/>
    <mergeCell ref="B217:C217"/>
    <mergeCell ref="B218:C218"/>
    <mergeCell ref="B219:C219"/>
    <mergeCell ref="B190:C190"/>
    <mergeCell ref="B191:C191"/>
    <mergeCell ref="B192:C192"/>
    <mergeCell ref="B193:C193"/>
    <mergeCell ref="B194:C194"/>
    <mergeCell ref="B195:C195"/>
    <mergeCell ref="B226:C226"/>
    <mergeCell ref="B227:C227"/>
    <mergeCell ref="B228:C228"/>
    <mergeCell ref="B230:C230"/>
    <mergeCell ref="B248:D248"/>
    <mergeCell ref="B250:C250"/>
    <mergeCell ref="B220:C220"/>
    <mergeCell ref="B221:C221"/>
    <mergeCell ref="B222:C222"/>
    <mergeCell ref="B223:C223"/>
    <mergeCell ref="B224:C224"/>
    <mergeCell ref="B225:C225"/>
    <mergeCell ref="B258:C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5:C255"/>
    <mergeCell ref="B256:C256"/>
    <mergeCell ref="B257:C257"/>
    <mergeCell ref="B296:C296"/>
    <mergeCell ref="B297:C297"/>
    <mergeCell ref="B298:C298"/>
    <mergeCell ref="B286:C286"/>
    <mergeCell ref="B288:C288"/>
    <mergeCell ref="B289:C289"/>
    <mergeCell ref="B290:C290"/>
    <mergeCell ref="B291:C291"/>
    <mergeCell ref="B292:C292"/>
    <mergeCell ref="B264:C264"/>
    <mergeCell ref="B265:C265"/>
    <mergeCell ref="B281:D281"/>
    <mergeCell ref="B283:C283"/>
    <mergeCell ref="B284:C284"/>
    <mergeCell ref="B285:C285"/>
    <mergeCell ref="B293:C293"/>
    <mergeCell ref="B294:C294"/>
    <mergeCell ref="B295:C29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7"/>
  <sheetViews>
    <sheetView topLeftCell="A97" workbookViewId="0">
      <selection activeCell="F124" sqref="F124"/>
    </sheetView>
  </sheetViews>
  <sheetFormatPr defaultRowHeight="14.4" x14ac:dyDescent="0.3"/>
  <cols>
    <col min="2" max="2" width="26.33203125" customWidth="1"/>
    <col min="3" max="3" width="18.77734375" customWidth="1"/>
    <col min="4" max="4" width="12.77734375" customWidth="1"/>
    <col min="5" max="5" width="13.109375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179</v>
      </c>
      <c r="D6" s="6">
        <v>1</v>
      </c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v>142997.34</v>
      </c>
      <c r="D10" s="1">
        <v>125324.84</v>
      </c>
      <c r="E10" s="1">
        <v>39099.22</v>
      </c>
    </row>
    <row r="11" spans="2:5" x14ac:dyDescent="0.3">
      <c r="B11" s="49" t="s">
        <v>10</v>
      </c>
      <c r="C11" s="50"/>
      <c r="D11" s="51"/>
      <c r="E11" s="1">
        <f>C10-E10</f>
        <v>103898.12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ht="15.6" x14ac:dyDescent="0.3">
      <c r="B15" s="52" t="s">
        <v>292</v>
      </c>
      <c r="C15" s="51"/>
      <c r="D15" s="32">
        <v>6488.4</v>
      </c>
      <c r="E15" s="1"/>
    </row>
    <row r="16" spans="2:5" x14ac:dyDescent="0.3">
      <c r="B16" s="52" t="s">
        <v>201</v>
      </c>
      <c r="C16" s="51"/>
      <c r="D16" s="30">
        <v>921.51</v>
      </c>
      <c r="E16" s="1"/>
    </row>
    <row r="17" spans="2:5" x14ac:dyDescent="0.3">
      <c r="B17" s="60" t="s">
        <v>40</v>
      </c>
      <c r="C17" s="51"/>
      <c r="D17" s="1">
        <v>0</v>
      </c>
      <c r="E17" s="1"/>
    </row>
    <row r="18" spans="2:5" ht="42" customHeight="1" x14ac:dyDescent="0.3">
      <c r="B18" s="52" t="s">
        <v>289</v>
      </c>
      <c r="C18" s="51"/>
      <c r="D18" s="1">
        <f>6303.21+820.04+2251.07</f>
        <v>9374.32</v>
      </c>
      <c r="E18" s="1"/>
    </row>
    <row r="19" spans="2:5" ht="15.6" x14ac:dyDescent="0.3">
      <c r="B19" s="52" t="s">
        <v>290</v>
      </c>
      <c r="C19" s="51"/>
      <c r="D19" s="35">
        <v>6272</v>
      </c>
      <c r="E19" s="1"/>
    </row>
    <row r="20" spans="2:5" ht="15.6" customHeight="1" x14ac:dyDescent="0.3">
      <c r="B20" s="68" t="s">
        <v>291</v>
      </c>
      <c r="C20" s="65"/>
      <c r="D20" s="32">
        <v>13390.94</v>
      </c>
      <c r="E20" s="1"/>
    </row>
    <row r="21" spans="2:5" x14ac:dyDescent="0.3">
      <c r="B21" s="61" t="s">
        <v>47</v>
      </c>
      <c r="C21" s="51"/>
      <c r="D21" s="1">
        <v>0</v>
      </c>
      <c r="E21" s="1"/>
    </row>
    <row r="22" spans="2:5" ht="15.6" x14ac:dyDescent="0.3">
      <c r="B22" s="52" t="s">
        <v>50</v>
      </c>
      <c r="C22" s="51"/>
      <c r="D22" s="32">
        <f>1690.22+227.13</f>
        <v>1917.35</v>
      </c>
      <c r="E22" s="1"/>
    </row>
    <row r="23" spans="2:5" x14ac:dyDescent="0.3">
      <c r="B23" s="52"/>
      <c r="C23" s="51"/>
      <c r="D23" s="1"/>
      <c r="E23" s="1"/>
    </row>
    <row r="24" spans="2:5" x14ac:dyDescent="0.3">
      <c r="B24" s="52"/>
      <c r="C24" s="51"/>
      <c r="D24" s="1">
        <v>0</v>
      </c>
      <c r="E24" s="1"/>
    </row>
    <row r="25" spans="2:5" x14ac:dyDescent="0.3">
      <c r="B25" s="56" t="s">
        <v>52</v>
      </c>
      <c r="C25" s="57"/>
      <c r="D25" s="1">
        <v>0</v>
      </c>
      <c r="E25" s="1"/>
    </row>
    <row r="26" spans="2:5" x14ac:dyDescent="0.3">
      <c r="B26" s="52" t="s">
        <v>53</v>
      </c>
      <c r="C26" s="51"/>
      <c r="D26" s="1"/>
      <c r="E26" s="1"/>
    </row>
    <row r="27" spans="2:5" x14ac:dyDescent="0.3">
      <c r="B27" s="52" t="s">
        <v>293</v>
      </c>
      <c r="C27" s="51"/>
      <c r="D27" s="30">
        <v>734.7</v>
      </c>
      <c r="E27" s="1"/>
    </row>
    <row r="28" spans="2:5" x14ac:dyDescent="0.3">
      <c r="B28" s="59" t="s">
        <v>42</v>
      </c>
      <c r="C28" s="51"/>
      <c r="D28" s="3">
        <f>SUM(D14:D27)</f>
        <v>39099.219999999994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  <row r="37" spans="2:5" ht="15.6" x14ac:dyDescent="0.3">
      <c r="C37" s="4" t="s">
        <v>6</v>
      </c>
      <c r="D37" s="4"/>
    </row>
    <row r="38" spans="2:5" x14ac:dyDescent="0.3">
      <c r="B38" s="5" t="s">
        <v>7</v>
      </c>
      <c r="C38" s="5"/>
      <c r="D38" s="5"/>
      <c r="E38" s="5"/>
    </row>
    <row r="39" spans="2:5" x14ac:dyDescent="0.3">
      <c r="B39" s="5"/>
      <c r="C39" s="5" t="s">
        <v>30</v>
      </c>
      <c r="D39" s="5"/>
      <c r="E39" s="5"/>
    </row>
    <row r="40" spans="2:5" x14ac:dyDescent="0.3">
      <c r="B40" t="s">
        <v>163</v>
      </c>
      <c r="C40" t="s">
        <v>179</v>
      </c>
      <c r="D40" s="6">
        <v>2</v>
      </c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4</v>
      </c>
      <c r="C44" s="1">
        <v>106378.44</v>
      </c>
      <c r="D44" s="1">
        <v>93972.42</v>
      </c>
      <c r="E44" s="1">
        <v>337575.05</v>
      </c>
    </row>
    <row r="45" spans="2:5" x14ac:dyDescent="0.3">
      <c r="B45" s="49" t="s">
        <v>10</v>
      </c>
      <c r="C45" s="50"/>
      <c r="D45" s="51"/>
      <c r="E45" s="1">
        <f>C44-E44</f>
        <v>-231196.61</v>
      </c>
    </row>
    <row r="47" spans="2:5" ht="28.8" x14ac:dyDescent="0.3">
      <c r="B47" s="60" t="s">
        <v>37</v>
      </c>
      <c r="C47" s="51"/>
      <c r="D47" s="21" t="s">
        <v>41</v>
      </c>
      <c r="E47" s="3"/>
    </row>
    <row r="48" spans="2:5" x14ac:dyDescent="0.3">
      <c r="B48" s="60" t="s">
        <v>38</v>
      </c>
      <c r="C48" s="51"/>
      <c r="D48" s="1">
        <v>0</v>
      </c>
      <c r="E48" s="1"/>
    </row>
    <row r="49" spans="2:5" ht="15.6" x14ac:dyDescent="0.3">
      <c r="B49" s="52" t="s">
        <v>296</v>
      </c>
      <c r="C49" s="51"/>
      <c r="D49" s="32">
        <v>2284.35</v>
      </c>
      <c r="E49" s="1"/>
    </row>
    <row r="50" spans="2:5" ht="15.6" x14ac:dyDescent="0.3">
      <c r="B50" s="52" t="s">
        <v>297</v>
      </c>
      <c r="C50" s="51"/>
      <c r="D50" s="32">
        <v>524.38</v>
      </c>
      <c r="E50" s="1"/>
    </row>
    <row r="51" spans="2:5" x14ac:dyDescent="0.3">
      <c r="B51" s="60" t="s">
        <v>40</v>
      </c>
      <c r="C51" s="51"/>
      <c r="D51" s="1">
        <v>0</v>
      </c>
      <c r="E51" s="1"/>
    </row>
    <row r="52" spans="2:5" x14ac:dyDescent="0.3">
      <c r="B52" s="52" t="s">
        <v>298</v>
      </c>
      <c r="C52" s="51"/>
      <c r="D52" s="30">
        <f>3828.54+496.67+8841.72</f>
        <v>13166.93</v>
      </c>
      <c r="E52" s="1"/>
    </row>
    <row r="53" spans="2:5" x14ac:dyDescent="0.3">
      <c r="B53" s="52" t="s">
        <v>295</v>
      </c>
      <c r="C53" s="51"/>
      <c r="D53" s="30">
        <v>820.04</v>
      </c>
      <c r="E53" s="1"/>
    </row>
    <row r="54" spans="2:5" x14ac:dyDescent="0.3">
      <c r="B54" s="61" t="s">
        <v>47</v>
      </c>
      <c r="C54" s="51"/>
      <c r="D54" s="1">
        <v>0</v>
      </c>
      <c r="E54" s="1"/>
    </row>
    <row r="55" spans="2:5" ht="15.6" x14ac:dyDescent="0.3">
      <c r="B55" s="52" t="s">
        <v>253</v>
      </c>
      <c r="C55" s="51"/>
      <c r="D55" s="34">
        <f>1398.08+1364.08</f>
        <v>2762.16</v>
      </c>
      <c r="E55" s="1"/>
    </row>
    <row r="56" spans="2:5" ht="15.6" x14ac:dyDescent="0.3">
      <c r="B56" s="52" t="s">
        <v>294</v>
      </c>
      <c r="C56" s="51"/>
      <c r="D56" s="34">
        <v>454.25</v>
      </c>
      <c r="E56" s="1"/>
    </row>
    <row r="57" spans="2:5" ht="15.6" x14ac:dyDescent="0.3">
      <c r="B57" s="52" t="s">
        <v>214</v>
      </c>
      <c r="C57" s="51"/>
      <c r="D57" s="32">
        <v>314577.17</v>
      </c>
      <c r="E57" s="1"/>
    </row>
    <row r="58" spans="2:5" x14ac:dyDescent="0.3">
      <c r="B58" s="56" t="s">
        <v>52</v>
      </c>
      <c r="C58" s="57"/>
      <c r="D58" s="1">
        <v>0</v>
      </c>
      <c r="E58" s="1"/>
    </row>
    <row r="59" spans="2:5" x14ac:dyDescent="0.3">
      <c r="B59" s="52" t="s">
        <v>299</v>
      </c>
      <c r="C59" s="51"/>
      <c r="D59" s="30">
        <v>2251.0700000000002</v>
      </c>
      <c r="E59" s="1"/>
    </row>
    <row r="60" spans="2:5" x14ac:dyDescent="0.3">
      <c r="B60" s="52" t="s">
        <v>293</v>
      </c>
      <c r="C60" s="51"/>
      <c r="D60" s="30">
        <v>734.7</v>
      </c>
      <c r="E60" s="1"/>
    </row>
    <row r="61" spans="2:5" x14ac:dyDescent="0.3">
      <c r="B61" s="59" t="s">
        <v>42</v>
      </c>
      <c r="C61" s="51"/>
      <c r="D61" s="3">
        <f>SUM(D48:D60)</f>
        <v>337575.05</v>
      </c>
      <c r="E61" s="1"/>
    </row>
    <row r="62" spans="2:5" x14ac:dyDescent="0.3">
      <c r="B62" s="14"/>
      <c r="C62" s="14"/>
      <c r="D62" s="14"/>
      <c r="E62" s="14"/>
    </row>
    <row r="63" spans="2:5" x14ac:dyDescent="0.3">
      <c r="B63" t="s">
        <v>11</v>
      </c>
    </row>
    <row r="64" spans="2:5" x14ac:dyDescent="0.3">
      <c r="B64" t="s">
        <v>12</v>
      </c>
      <c r="C64" t="s">
        <v>13</v>
      </c>
    </row>
    <row r="68" spans="2:5" ht="15.6" x14ac:dyDescent="0.3">
      <c r="C68" s="4" t="s">
        <v>6</v>
      </c>
      <c r="D68" s="4"/>
    </row>
    <row r="69" spans="2:5" x14ac:dyDescent="0.3">
      <c r="B69" s="5" t="s">
        <v>7</v>
      </c>
      <c r="C69" s="5"/>
      <c r="D69" s="5"/>
      <c r="E69" s="5"/>
    </row>
    <row r="70" spans="2:5" x14ac:dyDescent="0.3">
      <c r="B70" s="5"/>
      <c r="C70" s="5" t="s">
        <v>30</v>
      </c>
      <c r="D70" s="5"/>
      <c r="E70" s="5"/>
    </row>
    <row r="71" spans="2:5" x14ac:dyDescent="0.3">
      <c r="B71" t="s">
        <v>163</v>
      </c>
      <c r="C71" t="s">
        <v>179</v>
      </c>
      <c r="D71" s="6">
        <v>3</v>
      </c>
    </row>
    <row r="74" spans="2:5" ht="28.8" x14ac:dyDescent="0.3">
      <c r="B74" s="1" t="s">
        <v>0</v>
      </c>
      <c r="C74" s="2" t="s">
        <v>1</v>
      </c>
      <c r="D74" s="2" t="s">
        <v>2</v>
      </c>
      <c r="E74" s="2" t="s">
        <v>3</v>
      </c>
    </row>
    <row r="75" spans="2:5" x14ac:dyDescent="0.3">
      <c r="B75" s="3" t="s">
        <v>4</v>
      </c>
      <c r="C75" s="1">
        <v>137498.51999999999</v>
      </c>
      <c r="D75" s="1">
        <v>123374.29</v>
      </c>
      <c r="E75" s="1">
        <v>9541.42</v>
      </c>
    </row>
    <row r="76" spans="2:5" x14ac:dyDescent="0.3">
      <c r="B76" s="49" t="s">
        <v>10</v>
      </c>
      <c r="C76" s="50"/>
      <c r="D76" s="51"/>
      <c r="E76" s="1">
        <f>C75-E75</f>
        <v>127957.09999999999</v>
      </c>
    </row>
    <row r="78" spans="2:5" ht="28.8" x14ac:dyDescent="0.3">
      <c r="B78" s="60" t="s">
        <v>37</v>
      </c>
      <c r="C78" s="51"/>
      <c r="D78" s="21" t="s">
        <v>41</v>
      </c>
      <c r="E78" s="3"/>
    </row>
    <row r="79" spans="2:5" x14ac:dyDescent="0.3">
      <c r="B79" s="60" t="s">
        <v>38</v>
      </c>
      <c r="C79" s="51"/>
      <c r="D79" s="1">
        <v>0</v>
      </c>
      <c r="E79" s="1"/>
    </row>
    <row r="80" spans="2:5" ht="27.6" customHeight="1" x14ac:dyDescent="0.3">
      <c r="B80" s="52" t="s">
        <v>300</v>
      </c>
      <c r="C80" s="51"/>
      <c r="D80" s="34">
        <v>322.08999999999997</v>
      </c>
      <c r="E80" s="1"/>
    </row>
    <row r="81" spans="2:5" x14ac:dyDescent="0.3">
      <c r="B81" s="52" t="s">
        <v>301</v>
      </c>
      <c r="C81" s="51"/>
      <c r="D81" s="1">
        <f>3154.83+2255.05</f>
        <v>5409.88</v>
      </c>
      <c r="E81" s="1"/>
    </row>
    <row r="82" spans="2:5" x14ac:dyDescent="0.3">
      <c r="B82" s="60" t="s">
        <v>40</v>
      </c>
      <c r="C82" s="51"/>
      <c r="D82" s="1">
        <v>0</v>
      </c>
      <c r="E82" s="1"/>
    </row>
    <row r="83" spans="2:5" x14ac:dyDescent="0.3">
      <c r="B83" s="52" t="s">
        <v>55</v>
      </c>
      <c r="C83" s="51"/>
      <c r="D83" s="33">
        <v>2603.04</v>
      </c>
      <c r="E83" s="1"/>
    </row>
    <row r="84" spans="2:5" x14ac:dyDescent="0.3">
      <c r="B84" s="52"/>
      <c r="C84" s="51"/>
      <c r="D84" s="1">
        <v>0</v>
      </c>
      <c r="E84" s="1"/>
    </row>
    <row r="85" spans="2:5" x14ac:dyDescent="0.3">
      <c r="B85" s="61" t="s">
        <v>47</v>
      </c>
      <c r="C85" s="51"/>
      <c r="D85" s="1">
        <v>0</v>
      </c>
      <c r="E85" s="1"/>
    </row>
    <row r="86" spans="2:5" ht="15.6" x14ac:dyDescent="0.3">
      <c r="B86" s="52" t="s">
        <v>238</v>
      </c>
      <c r="C86" s="51"/>
      <c r="D86" s="34">
        <v>119.81</v>
      </c>
      <c r="E86" s="1"/>
    </row>
    <row r="87" spans="2:5" x14ac:dyDescent="0.3">
      <c r="B87" s="52"/>
      <c r="C87" s="51"/>
      <c r="D87" s="1"/>
      <c r="E87" s="1"/>
    </row>
    <row r="88" spans="2:5" x14ac:dyDescent="0.3">
      <c r="B88" s="52"/>
      <c r="C88" s="51"/>
      <c r="D88" s="1">
        <v>0</v>
      </c>
      <c r="E88" s="1"/>
    </row>
    <row r="89" spans="2:5" x14ac:dyDescent="0.3">
      <c r="B89" s="56" t="s">
        <v>52</v>
      </c>
      <c r="C89" s="57"/>
      <c r="D89" s="1">
        <v>0</v>
      </c>
      <c r="E89" s="1"/>
    </row>
    <row r="90" spans="2:5" x14ac:dyDescent="0.3">
      <c r="B90" s="52" t="s">
        <v>53</v>
      </c>
      <c r="C90" s="51"/>
      <c r="D90" s="1"/>
      <c r="E90" s="1"/>
    </row>
    <row r="91" spans="2:5" x14ac:dyDescent="0.3">
      <c r="B91" s="52" t="s">
        <v>293</v>
      </c>
      <c r="C91" s="51"/>
      <c r="D91" s="30">
        <v>1086.5999999999999</v>
      </c>
      <c r="E91" s="1"/>
    </row>
    <row r="92" spans="2:5" x14ac:dyDescent="0.3">
      <c r="B92" s="59" t="s">
        <v>42</v>
      </c>
      <c r="C92" s="51"/>
      <c r="D92" s="3">
        <f>SUM(D79:D91)</f>
        <v>9541.42</v>
      </c>
      <c r="E92" s="1"/>
    </row>
    <row r="93" spans="2:5" x14ac:dyDescent="0.3">
      <c r="B93" s="14"/>
      <c r="C93" s="14"/>
      <c r="D93" s="14"/>
      <c r="E93" s="14"/>
    </row>
    <row r="94" spans="2:5" x14ac:dyDescent="0.3">
      <c r="B94" t="s">
        <v>11</v>
      </c>
    </row>
    <row r="95" spans="2:5" x14ac:dyDescent="0.3">
      <c r="B95" t="s">
        <v>12</v>
      </c>
      <c r="C95" t="s">
        <v>13</v>
      </c>
    </row>
    <row r="100" spans="2:5" ht="15.6" x14ac:dyDescent="0.3">
      <c r="C100" s="4" t="s">
        <v>6</v>
      </c>
      <c r="D100" s="4"/>
    </row>
    <row r="101" spans="2:5" x14ac:dyDescent="0.3">
      <c r="B101" s="5" t="s">
        <v>7</v>
      </c>
      <c r="C101" s="5"/>
      <c r="D101" s="5"/>
      <c r="E101" s="5"/>
    </row>
    <row r="102" spans="2:5" x14ac:dyDescent="0.3">
      <c r="B102" s="5"/>
      <c r="C102" s="5" t="s">
        <v>30</v>
      </c>
      <c r="D102" s="5"/>
      <c r="E102" s="5"/>
    </row>
    <row r="103" spans="2:5" x14ac:dyDescent="0.3">
      <c r="B103" t="s">
        <v>163</v>
      </c>
      <c r="C103" t="s">
        <v>179</v>
      </c>
      <c r="D103" s="6">
        <v>6</v>
      </c>
    </row>
    <row r="106" spans="2:5" ht="28.8" x14ac:dyDescent="0.3">
      <c r="B106" s="1" t="s">
        <v>0</v>
      </c>
      <c r="C106" s="2" t="s">
        <v>1</v>
      </c>
      <c r="D106" s="2" t="s">
        <v>2</v>
      </c>
      <c r="E106" s="2" t="s">
        <v>3</v>
      </c>
    </row>
    <row r="107" spans="2:5" x14ac:dyDescent="0.3">
      <c r="B107" s="3" t="s">
        <v>4</v>
      </c>
      <c r="C107" s="1">
        <v>146538.44</v>
      </c>
      <c r="D107" s="1">
        <v>126823.28</v>
      </c>
      <c r="E107" s="1">
        <v>10581.65</v>
      </c>
    </row>
    <row r="108" spans="2:5" x14ac:dyDescent="0.3">
      <c r="B108" s="49" t="s">
        <v>10</v>
      </c>
      <c r="C108" s="50"/>
      <c r="D108" s="51"/>
      <c r="E108" s="1">
        <f>C107-E107</f>
        <v>135956.79</v>
      </c>
    </row>
    <row r="110" spans="2:5" ht="28.8" x14ac:dyDescent="0.3">
      <c r="B110" s="60" t="s">
        <v>37</v>
      </c>
      <c r="C110" s="51"/>
      <c r="D110" s="21" t="s">
        <v>41</v>
      </c>
      <c r="E110" s="3"/>
    </row>
    <row r="111" spans="2:5" x14ac:dyDescent="0.3">
      <c r="B111" s="60" t="s">
        <v>38</v>
      </c>
      <c r="C111" s="51"/>
      <c r="D111" s="1">
        <v>0</v>
      </c>
      <c r="E111" s="1"/>
    </row>
    <row r="112" spans="2:5" x14ac:dyDescent="0.3">
      <c r="B112" s="52" t="s">
        <v>303</v>
      </c>
      <c r="C112" s="51"/>
      <c r="D112" s="33">
        <v>8525.49</v>
      </c>
      <c r="E112" s="1"/>
    </row>
    <row r="113" spans="2:5" x14ac:dyDescent="0.3">
      <c r="B113" s="52"/>
      <c r="C113" s="51"/>
      <c r="D113" s="1">
        <v>0</v>
      </c>
      <c r="E113" s="1"/>
    </row>
    <row r="114" spans="2:5" x14ac:dyDescent="0.3">
      <c r="B114" s="60" t="s">
        <v>40</v>
      </c>
      <c r="C114" s="51"/>
      <c r="D114" s="1">
        <v>0</v>
      </c>
      <c r="E114" s="1"/>
    </row>
    <row r="115" spans="2:5" x14ac:dyDescent="0.3">
      <c r="B115" s="52"/>
      <c r="C115" s="51"/>
      <c r="D115" s="1">
        <v>0</v>
      </c>
      <c r="E115" s="1"/>
    </row>
    <row r="116" spans="2:5" x14ac:dyDescent="0.3">
      <c r="B116" s="52"/>
      <c r="C116" s="51"/>
      <c r="D116" s="1">
        <v>0</v>
      </c>
      <c r="E116" s="1"/>
    </row>
    <row r="117" spans="2:5" x14ac:dyDescent="0.3">
      <c r="B117" s="61" t="s">
        <v>47</v>
      </c>
      <c r="C117" s="51"/>
      <c r="D117" s="1">
        <v>0</v>
      </c>
      <c r="E117" s="1"/>
    </row>
    <row r="118" spans="2:5" x14ac:dyDescent="0.3">
      <c r="B118" s="52" t="s">
        <v>302</v>
      </c>
      <c r="C118" s="51"/>
      <c r="D118" s="1">
        <f>227.27+1332.09</f>
        <v>1559.36</v>
      </c>
      <c r="E118" s="1"/>
    </row>
    <row r="119" spans="2:5" ht="15.6" x14ac:dyDescent="0.3">
      <c r="B119" s="52" t="s">
        <v>304</v>
      </c>
      <c r="C119" s="51"/>
      <c r="D119" s="34">
        <v>496.8</v>
      </c>
      <c r="E119" s="1"/>
    </row>
    <row r="120" spans="2:5" x14ac:dyDescent="0.3">
      <c r="B120" s="52"/>
      <c r="C120" s="51"/>
      <c r="D120" s="1">
        <v>0</v>
      </c>
      <c r="E120" s="1"/>
    </row>
    <row r="121" spans="2:5" x14ac:dyDescent="0.3">
      <c r="B121" s="56" t="s">
        <v>52</v>
      </c>
      <c r="C121" s="57"/>
      <c r="D121" s="1">
        <v>0</v>
      </c>
      <c r="E121" s="1"/>
    </row>
    <row r="122" spans="2:5" x14ac:dyDescent="0.3">
      <c r="B122" s="52" t="s">
        <v>53</v>
      </c>
      <c r="C122" s="51"/>
      <c r="D122" s="1"/>
      <c r="E122" s="1"/>
    </row>
    <row r="123" spans="2:5" x14ac:dyDescent="0.3">
      <c r="B123" s="52"/>
      <c r="C123" s="51"/>
      <c r="D123" s="1">
        <v>0</v>
      </c>
      <c r="E123" s="1"/>
    </row>
    <row r="124" spans="2:5" x14ac:dyDescent="0.3">
      <c r="B124" s="59" t="s">
        <v>42</v>
      </c>
      <c r="C124" s="51"/>
      <c r="D124" s="3">
        <f>SUM(D111:D123)</f>
        <v>10581.65</v>
      </c>
      <c r="E124" s="1"/>
    </row>
    <row r="125" spans="2:5" x14ac:dyDescent="0.3">
      <c r="B125" s="14"/>
      <c r="C125" s="14"/>
      <c r="D125" s="14"/>
      <c r="E125" s="14"/>
    </row>
    <row r="126" spans="2:5" x14ac:dyDescent="0.3">
      <c r="B126" t="s">
        <v>11</v>
      </c>
    </row>
    <row r="127" spans="2:5" x14ac:dyDescent="0.3">
      <c r="B127" t="s">
        <v>12</v>
      </c>
      <c r="C127" t="s">
        <v>13</v>
      </c>
    </row>
  </sheetData>
  <mergeCells count="65">
    <mergeCell ref="B17:C17"/>
    <mergeCell ref="B11:D11"/>
    <mergeCell ref="B13:C13"/>
    <mergeCell ref="B14:C14"/>
    <mergeCell ref="B15:C15"/>
    <mergeCell ref="B16:C16"/>
    <mergeCell ref="B47:C4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45:D45"/>
    <mergeCell ref="B20:C20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86:C86"/>
    <mergeCell ref="B60:C60"/>
    <mergeCell ref="B61:C61"/>
    <mergeCell ref="B76:D76"/>
    <mergeCell ref="B78:C78"/>
    <mergeCell ref="B79:C79"/>
    <mergeCell ref="B80:C80"/>
    <mergeCell ref="B81:C81"/>
    <mergeCell ref="B82:C82"/>
    <mergeCell ref="B83:C83"/>
    <mergeCell ref="B84:C84"/>
    <mergeCell ref="B85:C85"/>
    <mergeCell ref="B114:C114"/>
    <mergeCell ref="B87:C87"/>
    <mergeCell ref="B88:C88"/>
    <mergeCell ref="B89:C89"/>
    <mergeCell ref="B90:C90"/>
    <mergeCell ref="B91:C91"/>
    <mergeCell ref="B92:C92"/>
    <mergeCell ref="B108:D108"/>
    <mergeCell ref="B110:C110"/>
    <mergeCell ref="B111:C111"/>
    <mergeCell ref="B112:C112"/>
    <mergeCell ref="B113:C113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20:C1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72"/>
  <sheetViews>
    <sheetView topLeftCell="A115" workbookViewId="0">
      <selection activeCell="C267" sqref="C267"/>
    </sheetView>
  </sheetViews>
  <sheetFormatPr defaultRowHeight="14.4" x14ac:dyDescent="0.3"/>
  <cols>
    <col min="1" max="1" width="23.21875" customWidth="1"/>
    <col min="2" max="2" width="16.109375" customWidth="1"/>
    <col min="3" max="3" width="16.77734375" customWidth="1"/>
    <col min="4" max="4" width="10.77734375" customWidth="1"/>
  </cols>
  <sheetData>
    <row r="4" spans="1:4" ht="15.6" x14ac:dyDescent="0.3">
      <c r="B4" s="4" t="s">
        <v>5</v>
      </c>
      <c r="C4" s="4"/>
    </row>
    <row r="5" spans="1:4" ht="15.6" x14ac:dyDescent="0.3">
      <c r="B5" s="4" t="s">
        <v>6</v>
      </c>
      <c r="C5" s="4"/>
    </row>
    <row r="6" spans="1:4" x14ac:dyDescent="0.3">
      <c r="A6" s="5" t="s">
        <v>7</v>
      </c>
      <c r="B6" s="5"/>
      <c r="C6" s="5"/>
      <c r="D6" s="5"/>
    </row>
    <row r="7" spans="1:4" x14ac:dyDescent="0.3">
      <c r="A7" s="5"/>
      <c r="B7" s="5" t="s">
        <v>30</v>
      </c>
      <c r="C7" s="5"/>
      <c r="D7" s="5"/>
    </row>
    <row r="8" spans="1:4" x14ac:dyDescent="0.3">
      <c r="A8" s="7" t="s">
        <v>22</v>
      </c>
      <c r="B8" s="7" t="s">
        <v>23</v>
      </c>
      <c r="C8" s="6">
        <v>2</v>
      </c>
    </row>
    <row r="11" spans="1:4" ht="28.8" x14ac:dyDescent="0.3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3">
      <c r="A12" s="3" t="s">
        <v>4</v>
      </c>
      <c r="B12" s="1">
        <v>43190.82</v>
      </c>
      <c r="C12" s="1">
        <v>36402.949999999997</v>
      </c>
      <c r="D12" s="1">
        <v>2800</v>
      </c>
    </row>
    <row r="13" spans="1:4" x14ac:dyDescent="0.3">
      <c r="A13" s="49" t="s">
        <v>10</v>
      </c>
      <c r="B13" s="50"/>
      <c r="C13" s="51"/>
      <c r="D13" s="1">
        <f>B12-D12</f>
        <v>40390.82</v>
      </c>
    </row>
    <row r="15" spans="1:4" ht="28.8" x14ac:dyDescent="0.3">
      <c r="A15" s="3" t="s">
        <v>37</v>
      </c>
      <c r="B15" s="3"/>
      <c r="C15" s="21" t="s">
        <v>41</v>
      </c>
      <c r="D15" s="3"/>
    </row>
    <row r="16" spans="1:4" x14ac:dyDescent="0.3">
      <c r="A16" s="3" t="s">
        <v>38</v>
      </c>
      <c r="B16" s="1"/>
      <c r="C16" s="1"/>
      <c r="D16" s="1"/>
    </row>
    <row r="17" spans="1:4" x14ac:dyDescent="0.3">
      <c r="A17" s="9" t="s">
        <v>39</v>
      </c>
      <c r="B17" s="1"/>
      <c r="C17" s="1">
        <f>600+600+500</f>
        <v>1700</v>
      </c>
      <c r="D17" s="1"/>
    </row>
    <row r="18" spans="1:4" x14ac:dyDescent="0.3">
      <c r="A18" s="9"/>
      <c r="B18" s="1"/>
      <c r="C18" s="1"/>
      <c r="D18" s="1"/>
    </row>
    <row r="19" spans="1:4" x14ac:dyDescent="0.3">
      <c r="A19" s="3" t="s">
        <v>40</v>
      </c>
      <c r="B19" s="1"/>
      <c r="C19" s="1"/>
      <c r="D19" s="1"/>
    </row>
    <row r="20" spans="1:4" x14ac:dyDescent="0.3">
      <c r="A20" s="9" t="s">
        <v>43</v>
      </c>
      <c r="B20" s="1"/>
      <c r="C20" s="1">
        <v>1100</v>
      </c>
      <c r="D20" s="1"/>
    </row>
    <row r="21" spans="1:4" x14ac:dyDescent="0.3">
      <c r="A21" s="1"/>
      <c r="B21" s="1"/>
      <c r="C21" s="1"/>
      <c r="D21" s="1"/>
    </row>
    <row r="22" spans="1:4" x14ac:dyDescent="0.3">
      <c r="A22" s="16" t="s">
        <v>42</v>
      </c>
      <c r="B22" s="1"/>
      <c r="C22" s="3">
        <f>C17+C20</f>
        <v>2800</v>
      </c>
      <c r="D22" s="1"/>
    </row>
    <row r="23" spans="1:4" x14ac:dyDescent="0.3">
      <c r="A23" s="1"/>
      <c r="B23" s="1"/>
      <c r="C23" s="1"/>
      <c r="D23" s="1"/>
    </row>
    <row r="25" spans="1:4" x14ac:dyDescent="0.3">
      <c r="A25" t="s">
        <v>11</v>
      </c>
    </row>
    <row r="27" spans="1:4" x14ac:dyDescent="0.3">
      <c r="A27" t="s">
        <v>12</v>
      </c>
      <c r="B27" t="s">
        <v>13</v>
      </c>
    </row>
    <row r="35" spans="1:4" ht="15.6" x14ac:dyDescent="0.3">
      <c r="B35" s="4" t="s">
        <v>5</v>
      </c>
      <c r="C35" s="4"/>
    </row>
    <row r="36" spans="1:4" ht="15.6" x14ac:dyDescent="0.3">
      <c r="B36" s="4" t="s">
        <v>6</v>
      </c>
      <c r="C36" s="4"/>
    </row>
    <row r="37" spans="1:4" x14ac:dyDescent="0.3">
      <c r="A37" s="5" t="s">
        <v>7</v>
      </c>
      <c r="B37" s="5"/>
      <c r="C37" s="5"/>
      <c r="D37" s="5"/>
    </row>
    <row r="38" spans="1:4" x14ac:dyDescent="0.3">
      <c r="A38" s="5"/>
      <c r="B38" s="5" t="s">
        <v>30</v>
      </c>
      <c r="C38" s="5"/>
      <c r="D38" s="5"/>
    </row>
    <row r="39" spans="1:4" x14ac:dyDescent="0.3">
      <c r="A39" s="7" t="s">
        <v>22</v>
      </c>
      <c r="B39" s="7" t="s">
        <v>23</v>
      </c>
      <c r="C39" s="6">
        <v>7</v>
      </c>
    </row>
    <row r="42" spans="1:4" ht="28.8" x14ac:dyDescent="0.3">
      <c r="A42" s="1" t="s">
        <v>0</v>
      </c>
      <c r="B42" s="2" t="s">
        <v>1</v>
      </c>
      <c r="C42" s="2" t="s">
        <v>2</v>
      </c>
      <c r="D42" s="2" t="s">
        <v>3</v>
      </c>
    </row>
    <row r="43" spans="1:4" x14ac:dyDescent="0.3">
      <c r="A43" s="3" t="s">
        <v>4</v>
      </c>
      <c r="B43" s="1">
        <v>9064.7999999999993</v>
      </c>
      <c r="C43" s="1">
        <v>7212.89</v>
      </c>
      <c r="D43" s="1">
        <v>162100</v>
      </c>
    </row>
    <row r="44" spans="1:4" x14ac:dyDescent="0.3">
      <c r="A44" s="49" t="s">
        <v>32</v>
      </c>
      <c r="B44" s="50"/>
      <c r="C44" s="51"/>
      <c r="D44" s="1">
        <f>B43-D43</f>
        <v>-153035.20000000001</v>
      </c>
    </row>
    <row r="46" spans="1:4" ht="28.8" x14ac:dyDescent="0.3">
      <c r="A46" s="3" t="s">
        <v>37</v>
      </c>
      <c r="B46" s="3"/>
      <c r="C46" s="21" t="s">
        <v>41</v>
      </c>
      <c r="D46" s="3"/>
    </row>
    <row r="47" spans="1:4" x14ac:dyDescent="0.3">
      <c r="A47" s="3" t="s">
        <v>38</v>
      </c>
      <c r="B47" s="1"/>
      <c r="C47" s="1"/>
      <c r="D47" s="1"/>
    </row>
    <row r="48" spans="1:4" x14ac:dyDescent="0.3">
      <c r="A48" s="11" t="s">
        <v>46</v>
      </c>
      <c r="B48" s="1"/>
      <c r="C48" s="1">
        <v>149200</v>
      </c>
      <c r="D48" s="1"/>
    </row>
    <row r="49" spans="1:4" x14ac:dyDescent="0.3">
      <c r="A49" s="9"/>
      <c r="B49" s="1"/>
      <c r="C49" s="1"/>
      <c r="D49" s="1"/>
    </row>
    <row r="50" spans="1:4" x14ac:dyDescent="0.3">
      <c r="A50" s="3" t="s">
        <v>40</v>
      </c>
      <c r="B50" s="1"/>
      <c r="C50" s="1"/>
      <c r="D50" s="1"/>
    </row>
    <row r="51" spans="1:4" x14ac:dyDescent="0.3">
      <c r="A51" s="9" t="s">
        <v>43</v>
      </c>
      <c r="B51" s="1"/>
      <c r="C51" s="1">
        <v>4300</v>
      </c>
      <c r="D51" s="1"/>
    </row>
    <row r="52" spans="1:4" x14ac:dyDescent="0.3">
      <c r="A52" s="10" t="s">
        <v>44</v>
      </c>
      <c r="B52" s="1"/>
      <c r="C52" s="1">
        <v>300</v>
      </c>
      <c r="D52" s="1"/>
    </row>
    <row r="53" spans="1:4" ht="27" x14ac:dyDescent="0.3">
      <c r="A53" s="10" t="s">
        <v>45</v>
      </c>
      <c r="B53" s="1"/>
      <c r="C53" s="1">
        <v>6400</v>
      </c>
      <c r="D53" s="1"/>
    </row>
    <row r="54" spans="1:4" x14ac:dyDescent="0.3">
      <c r="A54" s="10"/>
      <c r="B54" s="1"/>
      <c r="C54" s="1"/>
      <c r="D54" s="1"/>
    </row>
    <row r="55" spans="1:4" ht="24.6" x14ac:dyDescent="0.3">
      <c r="A55" s="15" t="s">
        <v>47</v>
      </c>
      <c r="B55" s="1"/>
      <c r="C55" s="1"/>
      <c r="D55" s="1"/>
    </row>
    <row r="56" spans="1:4" x14ac:dyDescent="0.3">
      <c r="A56" s="10" t="s">
        <v>48</v>
      </c>
      <c r="B56" s="1"/>
      <c r="C56" s="1">
        <v>1900</v>
      </c>
      <c r="D56" s="1"/>
    </row>
    <row r="57" spans="1:4" x14ac:dyDescent="0.3">
      <c r="A57" s="10"/>
      <c r="B57" s="1"/>
      <c r="C57" s="1"/>
      <c r="D57" s="1"/>
    </row>
    <row r="58" spans="1:4" x14ac:dyDescent="0.3">
      <c r="A58" s="16" t="s">
        <v>42</v>
      </c>
      <c r="B58" s="1"/>
      <c r="C58" s="3">
        <f>C48+C51+C52+C53+C56</f>
        <v>162100</v>
      </c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t="s">
        <v>11</v>
      </c>
    </row>
    <row r="63" spans="1:4" x14ac:dyDescent="0.3">
      <c r="A63" t="s">
        <v>12</v>
      </c>
      <c r="B63" t="s">
        <v>13</v>
      </c>
    </row>
    <row r="72" spans="1:4" ht="15.6" x14ac:dyDescent="0.3">
      <c r="B72" s="4" t="s">
        <v>5</v>
      </c>
      <c r="C72" s="4"/>
    </row>
    <row r="73" spans="1:4" ht="15.6" x14ac:dyDescent="0.3">
      <c r="B73" s="4" t="s">
        <v>6</v>
      </c>
      <c r="C73" s="4"/>
    </row>
    <row r="74" spans="1:4" x14ac:dyDescent="0.3">
      <c r="A74" s="5" t="s">
        <v>7</v>
      </c>
      <c r="B74" s="5"/>
      <c r="C74" s="5"/>
      <c r="D74" s="5"/>
    </row>
    <row r="75" spans="1:4" x14ac:dyDescent="0.3">
      <c r="A75" s="5"/>
      <c r="B75" s="5" t="s">
        <v>30</v>
      </c>
      <c r="C75" s="5"/>
      <c r="D75" s="5"/>
    </row>
    <row r="76" spans="1:4" x14ac:dyDescent="0.3">
      <c r="A76" s="7" t="s">
        <v>22</v>
      </c>
      <c r="B76" s="7" t="s">
        <v>23</v>
      </c>
      <c r="C76" s="6">
        <v>8</v>
      </c>
    </row>
    <row r="79" spans="1:4" ht="28.8" x14ac:dyDescent="0.3">
      <c r="A79" s="1" t="s">
        <v>0</v>
      </c>
      <c r="B79" s="2" t="s">
        <v>1</v>
      </c>
      <c r="C79" s="2" t="s">
        <v>2</v>
      </c>
      <c r="D79" s="2" t="s">
        <v>3</v>
      </c>
    </row>
    <row r="80" spans="1:4" x14ac:dyDescent="0.3">
      <c r="A80" s="3" t="s">
        <v>4</v>
      </c>
      <c r="B80" s="1">
        <v>6793.98</v>
      </c>
      <c r="C80" s="1">
        <v>4545.04</v>
      </c>
      <c r="D80" s="1">
        <v>400</v>
      </c>
    </row>
    <row r="81" spans="1:4" x14ac:dyDescent="0.3">
      <c r="A81" s="49" t="s">
        <v>10</v>
      </c>
      <c r="B81" s="50"/>
      <c r="C81" s="51"/>
      <c r="D81" s="1">
        <f>B80-D80</f>
        <v>6393.98</v>
      </c>
    </row>
    <row r="82" spans="1:4" x14ac:dyDescent="0.3">
      <c r="A82" s="13"/>
      <c r="B82" s="13"/>
      <c r="C82" s="13"/>
      <c r="D82" s="14"/>
    </row>
    <row r="83" spans="1:4" ht="28.8" x14ac:dyDescent="0.3">
      <c r="A83" s="3" t="s">
        <v>37</v>
      </c>
      <c r="B83" s="3"/>
      <c r="C83" s="21" t="s">
        <v>41</v>
      </c>
      <c r="D83" s="3"/>
    </row>
    <row r="84" spans="1:4" ht="24.6" x14ac:dyDescent="0.3">
      <c r="A84" s="15" t="s">
        <v>47</v>
      </c>
      <c r="B84" s="1"/>
      <c r="C84" s="1"/>
      <c r="D84" s="1"/>
    </row>
    <row r="85" spans="1:4" x14ac:dyDescent="0.3">
      <c r="A85" s="12" t="s">
        <v>49</v>
      </c>
      <c r="B85" s="1"/>
      <c r="C85" s="1">
        <v>400</v>
      </c>
      <c r="D85" s="1"/>
    </row>
    <row r="86" spans="1:4" x14ac:dyDescent="0.3">
      <c r="A86" s="10"/>
      <c r="B86" s="1"/>
      <c r="C86" s="1"/>
      <c r="D86" s="1"/>
    </row>
    <row r="87" spans="1:4" x14ac:dyDescent="0.3">
      <c r="A87" s="16" t="s">
        <v>42</v>
      </c>
      <c r="B87" s="1"/>
      <c r="C87" s="3">
        <f>C85</f>
        <v>400</v>
      </c>
      <c r="D87" s="1"/>
    </row>
    <row r="88" spans="1:4" x14ac:dyDescent="0.3">
      <c r="A88" s="1"/>
      <c r="B88" s="1"/>
      <c r="C88" s="1"/>
      <c r="D88" s="1"/>
    </row>
    <row r="89" spans="1:4" x14ac:dyDescent="0.3">
      <c r="A89" s="1"/>
      <c r="B89" s="1"/>
      <c r="C89" s="1"/>
      <c r="D89" s="1"/>
    </row>
    <row r="90" spans="1:4" x14ac:dyDescent="0.3">
      <c r="A90" s="1"/>
      <c r="B90" s="1"/>
      <c r="C90" s="1"/>
      <c r="D90" s="1"/>
    </row>
    <row r="91" spans="1:4" x14ac:dyDescent="0.3">
      <c r="A91" s="1"/>
      <c r="B91" s="1"/>
      <c r="C91" s="1"/>
      <c r="D91" s="1"/>
    </row>
    <row r="94" spans="1:4" x14ac:dyDescent="0.3">
      <c r="A94" t="s">
        <v>11</v>
      </c>
    </row>
    <row r="96" spans="1:4" x14ac:dyDescent="0.3">
      <c r="A96" t="s">
        <v>12</v>
      </c>
      <c r="B96" t="s">
        <v>13</v>
      </c>
    </row>
    <row r="107" spans="1:4" ht="15.6" x14ac:dyDescent="0.3">
      <c r="B107" s="4" t="s">
        <v>5</v>
      </c>
      <c r="C107" s="4"/>
    </row>
    <row r="108" spans="1:4" ht="15.6" x14ac:dyDescent="0.3">
      <c r="B108" s="4" t="s">
        <v>6</v>
      </c>
      <c r="C108" s="4"/>
    </row>
    <row r="109" spans="1:4" x14ac:dyDescent="0.3">
      <c r="A109" s="5" t="s">
        <v>7</v>
      </c>
      <c r="B109" s="5"/>
      <c r="C109" s="5"/>
      <c r="D109" s="5"/>
    </row>
    <row r="110" spans="1:4" x14ac:dyDescent="0.3">
      <c r="A110" s="5"/>
      <c r="B110" s="5" t="s">
        <v>30</v>
      </c>
      <c r="C110" s="5"/>
      <c r="D110" s="5"/>
    </row>
    <row r="111" spans="1:4" x14ac:dyDescent="0.3">
      <c r="A111" s="7" t="s">
        <v>22</v>
      </c>
      <c r="B111" s="7" t="s">
        <v>23</v>
      </c>
      <c r="C111" s="6">
        <v>10</v>
      </c>
    </row>
    <row r="114" spans="1:4" ht="28.8" x14ac:dyDescent="0.3">
      <c r="A114" s="1" t="s">
        <v>0</v>
      </c>
      <c r="B114" s="2" t="s">
        <v>1</v>
      </c>
      <c r="C114" s="2" t="s">
        <v>2</v>
      </c>
      <c r="D114" s="2" t="s">
        <v>3</v>
      </c>
    </row>
    <row r="115" spans="1:4" x14ac:dyDescent="0.3">
      <c r="A115" s="3" t="s">
        <v>4</v>
      </c>
      <c r="B115" s="1">
        <v>8085</v>
      </c>
      <c r="C115" s="1">
        <v>4938.57</v>
      </c>
      <c r="D115" s="1">
        <v>4100</v>
      </c>
    </row>
    <row r="116" spans="1:4" x14ac:dyDescent="0.3">
      <c r="A116" s="49" t="s">
        <v>10</v>
      </c>
      <c r="B116" s="50"/>
      <c r="C116" s="51"/>
      <c r="D116" s="1">
        <f>B115-D115</f>
        <v>3985</v>
      </c>
    </row>
    <row r="117" spans="1:4" x14ac:dyDescent="0.3">
      <c r="A117" s="13"/>
      <c r="B117" s="13"/>
      <c r="C117" s="13"/>
      <c r="D117" s="14"/>
    </row>
    <row r="118" spans="1:4" ht="28.8" x14ac:dyDescent="0.3">
      <c r="A118" s="3" t="s">
        <v>37</v>
      </c>
      <c r="B118" s="3"/>
      <c r="C118" s="21" t="s">
        <v>41</v>
      </c>
      <c r="D118" s="3"/>
    </row>
    <row r="119" spans="1:4" ht="24.6" x14ac:dyDescent="0.3">
      <c r="A119" s="15" t="s">
        <v>47</v>
      </c>
      <c r="B119" s="1"/>
      <c r="C119" s="1"/>
      <c r="D119" s="1"/>
    </row>
    <row r="120" spans="1:4" x14ac:dyDescent="0.3">
      <c r="A120" s="10" t="s">
        <v>50</v>
      </c>
      <c r="B120" s="1"/>
      <c r="C120" s="1">
        <v>1100</v>
      </c>
      <c r="D120" s="1"/>
    </row>
    <row r="121" spans="1:4" x14ac:dyDescent="0.3">
      <c r="A121" s="10"/>
      <c r="B121" s="1"/>
      <c r="C121" s="1"/>
      <c r="D121" s="1"/>
    </row>
    <row r="122" spans="1:4" x14ac:dyDescent="0.3">
      <c r="A122" s="3" t="s">
        <v>40</v>
      </c>
      <c r="B122" s="1"/>
      <c r="C122" s="1"/>
      <c r="D122" s="1"/>
    </row>
    <row r="123" spans="1:4" x14ac:dyDescent="0.3">
      <c r="A123" s="12" t="s">
        <v>51</v>
      </c>
      <c r="B123" s="1"/>
      <c r="C123" s="1">
        <v>2200</v>
      </c>
      <c r="D123" s="1"/>
    </row>
    <row r="124" spans="1:4" x14ac:dyDescent="0.3">
      <c r="A124" s="10"/>
      <c r="B124" s="1"/>
      <c r="C124" s="1"/>
      <c r="D124" s="1"/>
    </row>
    <row r="125" spans="1:4" x14ac:dyDescent="0.3">
      <c r="A125" s="18" t="s">
        <v>52</v>
      </c>
      <c r="B125" s="1"/>
      <c r="C125" s="1"/>
      <c r="D125" s="1"/>
    </row>
    <row r="126" spans="1:4" ht="27" x14ac:dyDescent="0.3">
      <c r="A126" s="10" t="s">
        <v>53</v>
      </c>
      <c r="B126" s="1"/>
      <c r="C126" s="1">
        <v>800</v>
      </c>
      <c r="D126" s="1"/>
    </row>
    <row r="127" spans="1:4" x14ac:dyDescent="0.3">
      <c r="A127" s="10"/>
      <c r="B127" s="1"/>
      <c r="C127" s="1"/>
      <c r="D127" s="1"/>
    </row>
    <row r="128" spans="1:4" x14ac:dyDescent="0.3">
      <c r="A128" s="10"/>
      <c r="B128" s="1"/>
      <c r="C128" s="1"/>
      <c r="D128" s="1"/>
    </row>
    <row r="129" spans="1:4" x14ac:dyDescent="0.3">
      <c r="A129" s="16" t="s">
        <v>42</v>
      </c>
      <c r="B129" s="1"/>
      <c r="C129" s="3">
        <f>C120+C123+C126</f>
        <v>4100</v>
      </c>
      <c r="D129" s="1"/>
    </row>
    <row r="130" spans="1:4" x14ac:dyDescent="0.3">
      <c r="A130" s="19"/>
      <c r="B130" s="19"/>
      <c r="C130" s="19"/>
      <c r="D130" s="1"/>
    </row>
    <row r="131" spans="1:4" x14ac:dyDescent="0.3">
      <c r="A131" s="1"/>
      <c r="B131" s="1"/>
      <c r="C131" s="1"/>
      <c r="D131" s="1"/>
    </row>
    <row r="137" spans="1:4" x14ac:dyDescent="0.3">
      <c r="A137" t="s">
        <v>11</v>
      </c>
    </row>
    <row r="139" spans="1:4" x14ac:dyDescent="0.3">
      <c r="A139" t="s">
        <v>12</v>
      </c>
      <c r="B139" t="s">
        <v>13</v>
      </c>
    </row>
    <row r="147" spans="1:4" ht="15.6" x14ac:dyDescent="0.3">
      <c r="B147" s="4" t="s">
        <v>5</v>
      </c>
      <c r="C147" s="4"/>
    </row>
    <row r="148" spans="1:4" ht="15.6" x14ac:dyDescent="0.3">
      <c r="B148" s="4" t="s">
        <v>6</v>
      </c>
      <c r="C148" s="4"/>
    </row>
    <row r="149" spans="1:4" x14ac:dyDescent="0.3">
      <c r="A149" s="5" t="s">
        <v>7</v>
      </c>
      <c r="B149" s="5"/>
      <c r="C149" s="5"/>
      <c r="D149" s="5"/>
    </row>
    <row r="150" spans="1:4" x14ac:dyDescent="0.3">
      <c r="A150" s="5"/>
      <c r="B150" s="5" t="s">
        <v>30</v>
      </c>
      <c r="C150" s="5"/>
      <c r="D150" s="5"/>
    </row>
    <row r="151" spans="1:4" x14ac:dyDescent="0.3">
      <c r="A151" s="7" t="s">
        <v>22</v>
      </c>
      <c r="B151" s="7" t="s">
        <v>23</v>
      </c>
      <c r="C151" s="6">
        <v>12</v>
      </c>
    </row>
    <row r="154" spans="1:4" ht="28.8" x14ac:dyDescent="0.3">
      <c r="A154" s="1" t="s">
        <v>0</v>
      </c>
      <c r="B154" s="2" t="s">
        <v>1</v>
      </c>
      <c r="C154" s="2" t="s">
        <v>2</v>
      </c>
      <c r="D154" s="2" t="s">
        <v>3</v>
      </c>
    </row>
    <row r="155" spans="1:4" x14ac:dyDescent="0.3">
      <c r="A155" s="3" t="s">
        <v>4</v>
      </c>
      <c r="B155" s="1">
        <v>5850.98</v>
      </c>
      <c r="C155" s="1">
        <v>4688.62</v>
      </c>
      <c r="D155" s="1">
        <v>600</v>
      </c>
    </row>
    <row r="156" spans="1:4" x14ac:dyDescent="0.3">
      <c r="A156" s="49" t="s">
        <v>31</v>
      </c>
      <c r="B156" s="50"/>
      <c r="C156" s="51"/>
      <c r="D156" s="1">
        <f>B155-D155</f>
        <v>5250.98</v>
      </c>
    </row>
    <row r="158" spans="1:4" ht="28.8" x14ac:dyDescent="0.3">
      <c r="A158" s="3" t="s">
        <v>37</v>
      </c>
      <c r="B158" s="3"/>
      <c r="C158" s="21" t="s">
        <v>41</v>
      </c>
      <c r="D158" s="3"/>
    </row>
    <row r="159" spans="1:4" x14ac:dyDescent="0.3">
      <c r="A159" s="3" t="s">
        <v>40</v>
      </c>
      <c r="B159" s="1"/>
      <c r="C159" s="1"/>
      <c r="D159" s="1"/>
    </row>
    <row r="160" spans="1:4" x14ac:dyDescent="0.3">
      <c r="A160" s="12" t="s">
        <v>51</v>
      </c>
      <c r="B160" s="1"/>
      <c r="C160" s="1">
        <v>600</v>
      </c>
      <c r="D160" s="1"/>
    </row>
    <row r="161" spans="1:4" x14ac:dyDescent="0.3">
      <c r="A161" s="10"/>
      <c r="B161" s="1"/>
      <c r="C161" s="1"/>
      <c r="D161" s="1"/>
    </row>
    <row r="162" spans="1:4" x14ac:dyDescent="0.3">
      <c r="A162" s="3" t="s">
        <v>42</v>
      </c>
      <c r="B162" s="3"/>
      <c r="C162" s="3">
        <f>C160</f>
        <v>600</v>
      </c>
      <c r="D162" s="1"/>
    </row>
    <row r="163" spans="1:4" x14ac:dyDescent="0.3">
      <c r="A163" s="1"/>
      <c r="B163" s="1"/>
      <c r="C163" s="1"/>
      <c r="D163" s="1"/>
    </row>
    <row r="164" spans="1:4" x14ac:dyDescent="0.3">
      <c r="A164" s="1"/>
      <c r="B164" s="1"/>
      <c r="C164" s="1"/>
      <c r="D164" s="1"/>
    </row>
    <row r="166" spans="1:4" x14ac:dyDescent="0.3">
      <c r="A166" t="s">
        <v>11</v>
      </c>
    </row>
    <row r="168" spans="1:4" x14ac:dyDescent="0.3">
      <c r="A168" t="s">
        <v>12</v>
      </c>
      <c r="B168" t="s">
        <v>13</v>
      </c>
    </row>
    <row r="174" spans="1:4" ht="15.6" x14ac:dyDescent="0.3">
      <c r="B174" s="4" t="s">
        <v>5</v>
      </c>
      <c r="C174" s="4"/>
    </row>
    <row r="175" spans="1:4" ht="15.6" x14ac:dyDescent="0.3">
      <c r="B175" s="4" t="s">
        <v>6</v>
      </c>
      <c r="C175" s="4"/>
    </row>
    <row r="176" spans="1:4" x14ac:dyDescent="0.3">
      <c r="A176" s="5" t="s">
        <v>7</v>
      </c>
      <c r="B176" s="5"/>
      <c r="C176" s="5"/>
      <c r="D176" s="5"/>
    </row>
    <row r="177" spans="1:4" x14ac:dyDescent="0.3">
      <c r="A177" s="5"/>
      <c r="B177" s="5" t="s">
        <v>30</v>
      </c>
      <c r="C177" s="5"/>
      <c r="D177" s="5"/>
    </row>
    <row r="178" spans="1:4" x14ac:dyDescent="0.3">
      <c r="A178" s="7" t="s">
        <v>22</v>
      </c>
      <c r="B178" s="7" t="s">
        <v>23</v>
      </c>
      <c r="C178" s="6">
        <v>13</v>
      </c>
    </row>
    <row r="181" spans="1:4" ht="28.8" x14ac:dyDescent="0.3">
      <c r="A181" s="1" t="s">
        <v>0</v>
      </c>
      <c r="B181" s="2" t="s">
        <v>1</v>
      </c>
      <c r="C181" s="2" t="s">
        <v>2</v>
      </c>
      <c r="D181" s="2" t="s">
        <v>3</v>
      </c>
    </row>
    <row r="182" spans="1:4" x14ac:dyDescent="0.3">
      <c r="A182" s="3" t="s">
        <v>4</v>
      </c>
      <c r="B182" s="1">
        <v>9555.2999999999993</v>
      </c>
      <c r="C182" s="1">
        <v>5909.1</v>
      </c>
      <c r="D182" s="1">
        <v>7700</v>
      </c>
    </row>
    <row r="183" spans="1:4" x14ac:dyDescent="0.3">
      <c r="A183" s="49" t="s">
        <v>10</v>
      </c>
      <c r="B183" s="50"/>
      <c r="C183" s="51"/>
      <c r="D183" s="1">
        <f>B182-D182</f>
        <v>1855.2999999999993</v>
      </c>
    </row>
    <row r="184" spans="1:4" x14ac:dyDescent="0.3">
      <c r="A184" s="13"/>
      <c r="B184" s="13"/>
      <c r="C184" s="13"/>
      <c r="D184" s="14"/>
    </row>
    <row r="185" spans="1:4" ht="28.8" x14ac:dyDescent="0.3">
      <c r="A185" s="3" t="s">
        <v>37</v>
      </c>
      <c r="B185" s="3"/>
      <c r="C185" s="21" t="s">
        <v>41</v>
      </c>
      <c r="D185" s="3"/>
    </row>
    <row r="186" spans="1:4" x14ac:dyDescent="0.3">
      <c r="A186" s="3" t="s">
        <v>40</v>
      </c>
      <c r="B186" s="1"/>
      <c r="C186" s="1"/>
      <c r="D186" s="1"/>
    </row>
    <row r="187" spans="1:4" x14ac:dyDescent="0.3">
      <c r="A187" s="12" t="s">
        <v>51</v>
      </c>
      <c r="B187" s="1"/>
      <c r="C187" s="1">
        <v>1800</v>
      </c>
      <c r="D187" s="1"/>
    </row>
    <row r="188" spans="1:4" x14ac:dyDescent="0.3">
      <c r="A188" s="12"/>
      <c r="B188" s="1"/>
      <c r="C188" s="1"/>
      <c r="D188" s="1"/>
    </row>
    <row r="189" spans="1:4" ht="24.6" x14ac:dyDescent="0.3">
      <c r="A189" s="15" t="s">
        <v>47</v>
      </c>
      <c r="B189" s="1"/>
      <c r="C189" s="1"/>
      <c r="D189" s="1"/>
    </row>
    <row r="190" spans="1:4" x14ac:dyDescent="0.3">
      <c r="A190" s="10" t="s">
        <v>50</v>
      </c>
      <c r="B190" s="1"/>
      <c r="C190" s="1">
        <v>5900</v>
      </c>
      <c r="D190" s="1"/>
    </row>
    <row r="191" spans="1:4" x14ac:dyDescent="0.3">
      <c r="A191" s="10"/>
      <c r="B191" s="1"/>
      <c r="C191" s="1"/>
      <c r="D191" s="1"/>
    </row>
    <row r="192" spans="1:4" x14ac:dyDescent="0.3">
      <c r="A192" s="3" t="s">
        <v>42</v>
      </c>
      <c r="B192" s="3"/>
      <c r="C192" s="3">
        <f>C187+C190</f>
        <v>7700</v>
      </c>
      <c r="D192" s="1"/>
    </row>
    <row r="193" spans="1:4" x14ac:dyDescent="0.3">
      <c r="A193" s="1"/>
      <c r="B193" s="1"/>
      <c r="C193" s="1"/>
      <c r="D193" s="1"/>
    </row>
    <row r="199" spans="1:4" x14ac:dyDescent="0.3">
      <c r="A199" t="s">
        <v>11</v>
      </c>
    </row>
    <row r="201" spans="1:4" x14ac:dyDescent="0.3">
      <c r="A201" t="s">
        <v>12</v>
      </c>
      <c r="B201" t="s">
        <v>13</v>
      </c>
    </row>
    <row r="213" spans="1:4" ht="15.6" x14ac:dyDescent="0.3">
      <c r="B213" s="4" t="s">
        <v>5</v>
      </c>
      <c r="C213" s="4"/>
    </row>
    <row r="214" spans="1:4" ht="15.6" x14ac:dyDescent="0.3">
      <c r="B214" s="4" t="s">
        <v>6</v>
      </c>
      <c r="C214" s="4"/>
    </row>
    <row r="215" spans="1:4" x14ac:dyDescent="0.3">
      <c r="A215" s="5" t="s">
        <v>7</v>
      </c>
      <c r="B215" s="5"/>
      <c r="C215" s="5"/>
      <c r="D215" s="5"/>
    </row>
    <row r="216" spans="1:4" x14ac:dyDescent="0.3">
      <c r="A216" s="5"/>
      <c r="B216" s="5" t="s">
        <v>30</v>
      </c>
      <c r="C216" s="5"/>
      <c r="D216" s="5"/>
    </row>
    <row r="217" spans="1:4" x14ac:dyDescent="0.3">
      <c r="A217" s="7" t="s">
        <v>22</v>
      </c>
      <c r="B217" s="7" t="s">
        <v>23</v>
      </c>
      <c r="C217" s="6">
        <v>16</v>
      </c>
    </row>
    <row r="220" spans="1:4" ht="28.8" x14ac:dyDescent="0.3">
      <c r="A220" s="1" t="s">
        <v>0</v>
      </c>
      <c r="B220" s="2" t="s">
        <v>1</v>
      </c>
      <c r="C220" s="2" t="s">
        <v>2</v>
      </c>
      <c r="D220" s="2" t="s">
        <v>3</v>
      </c>
    </row>
    <row r="221" spans="1:4" x14ac:dyDescent="0.3">
      <c r="A221" s="3" t="s">
        <v>4</v>
      </c>
      <c r="B221" s="1">
        <v>5455.72</v>
      </c>
      <c r="C221" s="1">
        <v>3820.01</v>
      </c>
      <c r="D221" s="1">
        <v>1900</v>
      </c>
    </row>
    <row r="222" spans="1:4" x14ac:dyDescent="0.3">
      <c r="A222" s="49" t="s">
        <v>31</v>
      </c>
      <c r="B222" s="50"/>
      <c r="C222" s="51"/>
      <c r="D222" s="1">
        <f>B221-D221</f>
        <v>3555.7200000000003</v>
      </c>
    </row>
    <row r="223" spans="1:4" x14ac:dyDescent="0.3">
      <c r="A223" s="13"/>
      <c r="B223" s="13"/>
      <c r="C223" s="13"/>
      <c r="D223" s="14"/>
    </row>
    <row r="224" spans="1:4" ht="28.8" x14ac:dyDescent="0.3">
      <c r="A224" s="3" t="s">
        <v>37</v>
      </c>
      <c r="B224" s="3"/>
      <c r="C224" s="21" t="s">
        <v>41</v>
      </c>
      <c r="D224" s="3"/>
    </row>
    <row r="225" spans="1:4" x14ac:dyDescent="0.3">
      <c r="A225" s="3" t="s">
        <v>38</v>
      </c>
      <c r="B225" s="1"/>
      <c r="C225" s="1"/>
      <c r="D225" s="1"/>
    </row>
    <row r="226" spans="1:4" x14ac:dyDescent="0.3">
      <c r="A226" s="11"/>
      <c r="B226" s="1"/>
      <c r="C226" s="1"/>
      <c r="D226" s="1"/>
    </row>
    <row r="227" spans="1:4" x14ac:dyDescent="0.3">
      <c r="A227" s="9"/>
      <c r="B227" s="1"/>
      <c r="C227" s="1"/>
      <c r="D227" s="1"/>
    </row>
    <row r="228" spans="1:4" x14ac:dyDescent="0.3">
      <c r="A228" s="3" t="s">
        <v>40</v>
      </c>
      <c r="B228" s="1"/>
      <c r="C228" s="1"/>
      <c r="D228" s="1"/>
    </row>
    <row r="229" spans="1:4" x14ac:dyDescent="0.3">
      <c r="A229" s="9" t="s">
        <v>54</v>
      </c>
      <c r="B229" s="1"/>
      <c r="C229" s="1">
        <v>700</v>
      </c>
      <c r="D229" s="1"/>
    </row>
    <row r="230" spans="1:4" x14ac:dyDescent="0.3">
      <c r="A230" s="10" t="s">
        <v>55</v>
      </c>
      <c r="B230" s="1"/>
      <c r="C230" s="1">
        <v>1000</v>
      </c>
      <c r="D230" s="1"/>
    </row>
    <row r="231" spans="1:4" x14ac:dyDescent="0.3">
      <c r="A231" s="17" t="s">
        <v>56</v>
      </c>
      <c r="B231" s="1"/>
      <c r="C231" s="1">
        <v>200</v>
      </c>
      <c r="D231" s="1"/>
    </row>
    <row r="232" spans="1:4" x14ac:dyDescent="0.3">
      <c r="A232" s="10"/>
      <c r="B232" s="1"/>
      <c r="C232" s="1"/>
      <c r="D232" s="1"/>
    </row>
    <row r="233" spans="1:4" ht="24.6" x14ac:dyDescent="0.3">
      <c r="A233" s="15" t="s">
        <v>47</v>
      </c>
      <c r="B233" s="1"/>
      <c r="C233" s="1"/>
      <c r="D233" s="1"/>
    </row>
    <row r="234" spans="1:4" x14ac:dyDescent="0.3">
      <c r="A234" s="10"/>
      <c r="B234" s="1"/>
      <c r="C234" s="1"/>
      <c r="D234" s="1"/>
    </row>
    <row r="235" spans="1:4" x14ac:dyDescent="0.3">
      <c r="A235" s="10"/>
      <c r="B235" s="1"/>
      <c r="C235" s="1"/>
      <c r="D235" s="1"/>
    </row>
    <row r="236" spans="1:4" x14ac:dyDescent="0.3">
      <c r="A236" s="16" t="s">
        <v>42</v>
      </c>
      <c r="B236" s="1"/>
      <c r="C236" s="3">
        <f>C226+C229+C230+C231+C234</f>
        <v>1900</v>
      </c>
      <c r="D236" s="1"/>
    </row>
    <row r="237" spans="1:4" x14ac:dyDescent="0.3">
      <c r="A237" s="1"/>
      <c r="B237" s="1"/>
      <c r="C237" s="1"/>
      <c r="D237" s="1"/>
    </row>
    <row r="238" spans="1:4" x14ac:dyDescent="0.3">
      <c r="A238" s="1"/>
      <c r="B238" s="1"/>
      <c r="C238" s="1"/>
      <c r="D238" s="1"/>
    </row>
    <row r="239" spans="1:4" x14ac:dyDescent="0.3">
      <c r="A239" s="14"/>
      <c r="B239" s="14"/>
      <c r="C239" s="14"/>
      <c r="D239" s="14"/>
    </row>
    <row r="240" spans="1:4" x14ac:dyDescent="0.3">
      <c r="A240" t="s">
        <v>11</v>
      </c>
    </row>
    <row r="242" spans="1:4" x14ac:dyDescent="0.3">
      <c r="A242" t="s">
        <v>12</v>
      </c>
      <c r="B242" t="s">
        <v>13</v>
      </c>
    </row>
    <row r="245" spans="1:4" ht="15.6" x14ac:dyDescent="0.3">
      <c r="B245" s="4" t="s">
        <v>5</v>
      </c>
      <c r="C245" s="4"/>
    </row>
    <row r="246" spans="1:4" ht="15.6" x14ac:dyDescent="0.3">
      <c r="B246" s="4" t="s">
        <v>6</v>
      </c>
      <c r="C246" s="4"/>
    </row>
    <row r="247" spans="1:4" x14ac:dyDescent="0.3">
      <c r="A247" s="5" t="s">
        <v>7</v>
      </c>
      <c r="B247" s="5"/>
      <c r="C247" s="5"/>
      <c r="D247" s="5"/>
    </row>
    <row r="248" spans="1:4" x14ac:dyDescent="0.3">
      <c r="A248" s="5"/>
      <c r="B248" s="5" t="s">
        <v>30</v>
      </c>
      <c r="C248" s="5"/>
      <c r="D248" s="5"/>
    </row>
    <row r="249" spans="1:4" x14ac:dyDescent="0.3">
      <c r="A249" s="8" t="s">
        <v>22</v>
      </c>
      <c r="B249" s="8" t="s">
        <v>23</v>
      </c>
      <c r="C249" s="6">
        <v>18</v>
      </c>
    </row>
    <row r="252" spans="1:4" ht="28.8" x14ac:dyDescent="0.3">
      <c r="A252" s="1" t="s">
        <v>0</v>
      </c>
      <c r="B252" s="2" t="s">
        <v>1</v>
      </c>
      <c r="C252" s="2" t="s">
        <v>2</v>
      </c>
      <c r="D252" s="2" t="s">
        <v>3</v>
      </c>
    </row>
    <row r="253" spans="1:4" x14ac:dyDescent="0.3">
      <c r="A253" s="3" t="s">
        <v>4</v>
      </c>
      <c r="B253" s="1">
        <v>5773.98</v>
      </c>
      <c r="C253" s="1">
        <v>4074.47</v>
      </c>
      <c r="D253" s="1">
        <v>6200</v>
      </c>
    </row>
    <row r="254" spans="1:4" x14ac:dyDescent="0.3">
      <c r="A254" s="49" t="s">
        <v>14</v>
      </c>
      <c r="B254" s="50"/>
      <c r="C254" s="51"/>
      <c r="D254" s="1">
        <f>B253-D253</f>
        <v>-426.02000000000044</v>
      </c>
    </row>
    <row r="255" spans="1:4" x14ac:dyDescent="0.3">
      <c r="A255" s="13"/>
      <c r="B255" s="13"/>
      <c r="C255" s="13"/>
      <c r="D255" s="14"/>
    </row>
    <row r="256" spans="1:4" ht="28.8" x14ac:dyDescent="0.3">
      <c r="A256" s="3" t="s">
        <v>37</v>
      </c>
      <c r="B256" s="3"/>
      <c r="C256" s="21" t="s">
        <v>41</v>
      </c>
      <c r="D256" s="3"/>
    </row>
    <row r="257" spans="1:4" x14ac:dyDescent="0.3">
      <c r="A257" s="3" t="s">
        <v>38</v>
      </c>
      <c r="B257" s="1"/>
      <c r="C257" s="1"/>
      <c r="D257" s="1"/>
    </row>
    <row r="258" spans="1:4" x14ac:dyDescent="0.3">
      <c r="A258" s="11"/>
      <c r="B258" s="1"/>
      <c r="C258" s="1"/>
      <c r="D258" s="1"/>
    </row>
    <row r="259" spans="1:4" x14ac:dyDescent="0.3">
      <c r="A259" s="9"/>
      <c r="B259" s="1"/>
      <c r="C259" s="1"/>
      <c r="D259" s="1"/>
    </row>
    <row r="260" spans="1:4" x14ac:dyDescent="0.3">
      <c r="A260" s="3" t="s">
        <v>40</v>
      </c>
      <c r="B260" s="1"/>
      <c r="C260" s="1"/>
      <c r="D260" s="1"/>
    </row>
    <row r="261" spans="1:4" x14ac:dyDescent="0.3">
      <c r="A261" s="9"/>
      <c r="B261" s="1"/>
      <c r="C261" s="1"/>
      <c r="D261" s="1"/>
    </row>
    <row r="262" spans="1:4" x14ac:dyDescent="0.3">
      <c r="A262" s="10"/>
      <c r="B262" s="1"/>
      <c r="C262" s="1"/>
      <c r="D262" s="1"/>
    </row>
    <row r="263" spans="1:4" ht="24.6" x14ac:dyDescent="0.3">
      <c r="A263" s="15" t="s">
        <v>47</v>
      </c>
      <c r="B263" s="1"/>
      <c r="C263" s="1"/>
      <c r="D263" s="1"/>
    </row>
    <row r="264" spans="1:4" x14ac:dyDescent="0.3">
      <c r="A264" s="10" t="s">
        <v>57</v>
      </c>
      <c r="B264" s="1"/>
      <c r="C264" s="1">
        <v>6200</v>
      </c>
      <c r="D264" s="1"/>
    </row>
    <row r="265" spans="1:4" x14ac:dyDescent="0.3">
      <c r="A265" s="10"/>
      <c r="B265" s="1"/>
      <c r="C265" s="1"/>
      <c r="D265" s="1"/>
    </row>
    <row r="266" spans="1:4" x14ac:dyDescent="0.3">
      <c r="A266" s="16" t="s">
        <v>42</v>
      </c>
      <c r="B266" s="1"/>
      <c r="C266" s="3">
        <f>C258+C261+C262+C264</f>
        <v>6200</v>
      </c>
      <c r="D266" s="1"/>
    </row>
    <row r="267" spans="1:4" x14ac:dyDescent="0.3">
      <c r="A267" s="1"/>
      <c r="B267" s="1"/>
      <c r="C267" s="1"/>
      <c r="D267" s="1"/>
    </row>
    <row r="268" spans="1:4" x14ac:dyDescent="0.3">
      <c r="A268" s="1"/>
      <c r="B268" s="1"/>
      <c r="C268" s="1"/>
      <c r="D268" s="1"/>
    </row>
    <row r="269" spans="1:4" x14ac:dyDescent="0.3">
      <c r="A269" s="14"/>
      <c r="B269" s="14"/>
      <c r="C269" s="14"/>
      <c r="D269" s="14"/>
    </row>
    <row r="270" spans="1:4" x14ac:dyDescent="0.3">
      <c r="A270" t="s">
        <v>11</v>
      </c>
    </row>
    <row r="272" spans="1:4" x14ac:dyDescent="0.3">
      <c r="A272" t="s">
        <v>12</v>
      </c>
      <c r="B272" t="s">
        <v>13</v>
      </c>
    </row>
  </sheetData>
  <mergeCells count="8">
    <mergeCell ref="A183:C183"/>
    <mergeCell ref="A222:C222"/>
    <mergeCell ref="A254:C254"/>
    <mergeCell ref="A13:C13"/>
    <mergeCell ref="A44:C44"/>
    <mergeCell ref="A81:C81"/>
    <mergeCell ref="A116:C116"/>
    <mergeCell ref="A156:C156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55"/>
  <sheetViews>
    <sheetView topLeftCell="A670" workbookViewId="0">
      <selection activeCell="A672" sqref="A672:G699"/>
    </sheetView>
  </sheetViews>
  <sheetFormatPr defaultRowHeight="14.4" x14ac:dyDescent="0.3"/>
  <cols>
    <col min="1" max="1" width="19.77734375" customWidth="1"/>
    <col min="2" max="2" width="17.44140625" customWidth="1"/>
    <col min="3" max="3" width="16" customWidth="1"/>
    <col min="4" max="4" width="10.77734375" customWidth="1"/>
  </cols>
  <sheetData>
    <row r="3" spans="1:4" ht="15.6" x14ac:dyDescent="0.3">
      <c r="B3" s="4" t="s">
        <v>5</v>
      </c>
      <c r="C3" s="4"/>
    </row>
    <row r="4" spans="1:4" ht="15.6" x14ac:dyDescent="0.3">
      <c r="B4" s="4" t="s">
        <v>6</v>
      </c>
      <c r="C4" s="4"/>
    </row>
    <row r="5" spans="1:4" x14ac:dyDescent="0.3">
      <c r="A5" s="5" t="s">
        <v>7</v>
      </c>
      <c r="B5" s="5"/>
      <c r="C5" s="5"/>
      <c r="D5" s="5"/>
    </row>
    <row r="6" spans="1:4" x14ac:dyDescent="0.3">
      <c r="A6" s="5"/>
      <c r="B6" s="5" t="s">
        <v>30</v>
      </c>
      <c r="C6" s="5"/>
      <c r="D6" s="5"/>
    </row>
    <row r="7" spans="1:4" x14ac:dyDescent="0.3">
      <c r="A7" t="s">
        <v>22</v>
      </c>
      <c r="B7" t="s">
        <v>25</v>
      </c>
      <c r="C7" s="6" t="s">
        <v>24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4</v>
      </c>
      <c r="B11" s="1">
        <v>0</v>
      </c>
      <c r="C11" s="1">
        <v>0</v>
      </c>
      <c r="D11" s="1">
        <v>0</v>
      </c>
    </row>
    <row r="12" spans="1:4" x14ac:dyDescent="0.3">
      <c r="A12" s="49" t="s">
        <v>10</v>
      </c>
      <c r="B12" s="50"/>
      <c r="C12" s="51"/>
      <c r="D12" s="1">
        <f>B11-D11</f>
        <v>0</v>
      </c>
    </row>
    <row r="13" spans="1:4" x14ac:dyDescent="0.3">
      <c r="A13" s="13"/>
      <c r="B13" s="13"/>
      <c r="C13" s="13"/>
      <c r="D13" s="14"/>
    </row>
    <row r="14" spans="1:4" ht="28.8" x14ac:dyDescent="0.3">
      <c r="A14" s="3" t="s">
        <v>37</v>
      </c>
      <c r="B14" s="3"/>
      <c r="C14" s="21" t="s">
        <v>41</v>
      </c>
      <c r="D14" s="3"/>
    </row>
    <row r="15" spans="1:4" x14ac:dyDescent="0.3">
      <c r="A15" s="3" t="s">
        <v>38</v>
      </c>
      <c r="B15" s="1"/>
      <c r="C15" s="1">
        <v>0</v>
      </c>
      <c r="D15" s="1"/>
    </row>
    <row r="16" spans="1:4" x14ac:dyDescent="0.3">
      <c r="A16" s="52"/>
      <c r="B16" s="51"/>
      <c r="C16" s="1">
        <v>0</v>
      </c>
      <c r="D16" s="1"/>
    </row>
    <row r="17" spans="1:4" x14ac:dyDescent="0.3">
      <c r="A17" s="52"/>
      <c r="B17" s="51"/>
      <c r="C17" s="1">
        <v>0</v>
      </c>
      <c r="D17" s="1"/>
    </row>
    <row r="18" spans="1:4" x14ac:dyDescent="0.3">
      <c r="A18" s="3" t="s">
        <v>40</v>
      </c>
      <c r="B18" s="1"/>
      <c r="C18" s="1">
        <v>0</v>
      </c>
      <c r="D18" s="1"/>
    </row>
    <row r="19" spans="1:4" x14ac:dyDescent="0.3">
      <c r="A19" s="52"/>
      <c r="B19" s="51"/>
      <c r="C19" s="1">
        <v>0</v>
      </c>
      <c r="D19" s="1"/>
    </row>
    <row r="20" spans="1:4" x14ac:dyDescent="0.3">
      <c r="A20" s="52"/>
      <c r="B20" s="51"/>
      <c r="C20" s="1">
        <v>0</v>
      </c>
      <c r="D20" s="1"/>
    </row>
    <row r="21" spans="1:4" x14ac:dyDescent="0.3">
      <c r="A21" s="61" t="s">
        <v>47</v>
      </c>
      <c r="B21" s="51"/>
      <c r="C21" s="1">
        <v>0</v>
      </c>
      <c r="D21" s="1"/>
    </row>
    <row r="22" spans="1:4" x14ac:dyDescent="0.3">
      <c r="A22" s="52"/>
      <c r="B22" s="51"/>
      <c r="C22" s="1">
        <v>0</v>
      </c>
      <c r="D22" s="1"/>
    </row>
    <row r="23" spans="1:4" x14ac:dyDescent="0.3">
      <c r="A23" s="52"/>
      <c r="B23" s="51"/>
      <c r="C23" s="1">
        <v>0</v>
      </c>
      <c r="D23" s="1"/>
    </row>
    <row r="24" spans="1:4" x14ac:dyDescent="0.3">
      <c r="A24" s="59" t="s">
        <v>42</v>
      </c>
      <c r="B24" s="51"/>
      <c r="C24" s="3">
        <f>SUM(C15:C23)</f>
        <v>0</v>
      </c>
      <c r="D24" s="1"/>
    </row>
    <row r="25" spans="1:4" x14ac:dyDescent="0.3">
      <c r="A25" s="14"/>
      <c r="B25" s="14"/>
      <c r="C25" s="14"/>
      <c r="D25" s="14"/>
    </row>
    <row r="26" spans="1:4" x14ac:dyDescent="0.3">
      <c r="A26" t="s">
        <v>11</v>
      </c>
    </row>
    <row r="28" spans="1:4" x14ac:dyDescent="0.3">
      <c r="A28" t="s">
        <v>12</v>
      </c>
      <c r="B28" t="s">
        <v>13</v>
      </c>
    </row>
    <row r="34" spans="1:4" ht="15.6" x14ac:dyDescent="0.3">
      <c r="B34" s="4" t="s">
        <v>5</v>
      </c>
      <c r="C34" s="4"/>
    </row>
    <row r="35" spans="1:4" ht="15.6" x14ac:dyDescent="0.3">
      <c r="B35" s="4" t="s">
        <v>6</v>
      </c>
      <c r="C35" s="4"/>
    </row>
    <row r="36" spans="1:4" x14ac:dyDescent="0.3">
      <c r="A36" s="5" t="s">
        <v>7</v>
      </c>
      <c r="B36" s="5"/>
      <c r="C36" s="5"/>
      <c r="D36" s="5"/>
    </row>
    <row r="37" spans="1:4" x14ac:dyDescent="0.3">
      <c r="A37" s="5"/>
      <c r="B37" s="5" t="s">
        <v>30</v>
      </c>
      <c r="C37" s="5"/>
      <c r="D37" s="5"/>
    </row>
    <row r="38" spans="1:4" x14ac:dyDescent="0.3">
      <c r="A38" t="s">
        <v>22</v>
      </c>
      <c r="B38" t="s">
        <v>25</v>
      </c>
      <c r="C38" s="6">
        <v>2</v>
      </c>
    </row>
    <row r="41" spans="1:4" ht="28.8" x14ac:dyDescent="0.3">
      <c r="A41" s="1" t="s">
        <v>0</v>
      </c>
      <c r="B41" s="2" t="s">
        <v>1</v>
      </c>
      <c r="C41" s="2" t="s">
        <v>2</v>
      </c>
      <c r="D41" s="2" t="s">
        <v>3</v>
      </c>
    </row>
    <row r="42" spans="1:4" x14ac:dyDescent="0.3">
      <c r="A42" s="3" t="s">
        <v>4</v>
      </c>
      <c r="B42" s="1">
        <v>54576.84</v>
      </c>
      <c r="C42" s="1">
        <v>38045.68</v>
      </c>
      <c r="D42" s="1">
        <v>19200</v>
      </c>
    </row>
    <row r="43" spans="1:4" x14ac:dyDescent="0.3">
      <c r="A43" s="49" t="s">
        <v>10</v>
      </c>
      <c r="B43" s="50"/>
      <c r="C43" s="51"/>
      <c r="D43" s="1">
        <f>B42-D42</f>
        <v>35376.839999999997</v>
      </c>
    </row>
    <row r="44" spans="1:4" x14ac:dyDescent="0.3">
      <c r="A44" s="13"/>
      <c r="B44" s="13"/>
      <c r="C44" s="13"/>
      <c r="D44" s="14"/>
    </row>
    <row r="45" spans="1:4" ht="28.8" x14ac:dyDescent="0.3">
      <c r="A45" s="3" t="s">
        <v>37</v>
      </c>
      <c r="B45" s="3"/>
      <c r="C45" s="21" t="s">
        <v>41</v>
      </c>
      <c r="D45" s="3"/>
    </row>
    <row r="46" spans="1:4" x14ac:dyDescent="0.3">
      <c r="A46" s="3" t="s">
        <v>38</v>
      </c>
      <c r="B46" s="1"/>
      <c r="C46" s="1">
        <v>0</v>
      </c>
      <c r="D46" s="1"/>
    </row>
    <row r="47" spans="1:4" x14ac:dyDescent="0.3">
      <c r="A47" s="52" t="s">
        <v>58</v>
      </c>
      <c r="B47" s="51"/>
      <c r="C47" s="1">
        <v>800</v>
      </c>
      <c r="D47" s="1"/>
    </row>
    <row r="48" spans="1:4" x14ac:dyDescent="0.3">
      <c r="A48" s="52" t="s">
        <v>39</v>
      </c>
      <c r="B48" s="51"/>
      <c r="C48" s="1">
        <f>5500+9500+2700</f>
        <v>17700</v>
      </c>
      <c r="D48" s="1"/>
    </row>
    <row r="49" spans="1:4" x14ac:dyDescent="0.3">
      <c r="A49" s="3" t="s">
        <v>40</v>
      </c>
      <c r="B49" s="1"/>
      <c r="C49" s="1">
        <v>0</v>
      </c>
      <c r="D49" s="1"/>
    </row>
    <row r="50" spans="1:4" x14ac:dyDescent="0.3">
      <c r="A50" s="52"/>
      <c r="B50" s="51"/>
      <c r="C50" s="1">
        <v>0</v>
      </c>
      <c r="D50" s="1"/>
    </row>
    <row r="51" spans="1:4" x14ac:dyDescent="0.3">
      <c r="A51" s="52"/>
      <c r="B51" s="51"/>
      <c r="C51" s="1">
        <v>0</v>
      </c>
      <c r="D51" s="1"/>
    </row>
    <row r="52" spans="1:4" ht="14.4" customHeight="1" x14ac:dyDescent="0.3">
      <c r="A52" s="61" t="s">
        <v>47</v>
      </c>
      <c r="B52" s="51"/>
      <c r="C52" s="1">
        <v>0</v>
      </c>
      <c r="D52" s="1"/>
    </row>
    <row r="53" spans="1:4" x14ac:dyDescent="0.3">
      <c r="A53" s="52" t="s">
        <v>60</v>
      </c>
      <c r="B53" s="51"/>
      <c r="C53" s="1">
        <f>300+100</f>
        <v>400</v>
      </c>
      <c r="D53" s="1"/>
    </row>
    <row r="54" spans="1:4" x14ac:dyDescent="0.3">
      <c r="A54" s="52" t="s">
        <v>61</v>
      </c>
      <c r="B54" s="51"/>
      <c r="C54" s="1">
        <v>300</v>
      </c>
      <c r="D54" s="1"/>
    </row>
    <row r="55" spans="1:4" x14ac:dyDescent="0.3">
      <c r="A55" s="59" t="s">
        <v>42</v>
      </c>
      <c r="B55" s="51"/>
      <c r="C55" s="3">
        <f>SUM(C46:C54)</f>
        <v>19200</v>
      </c>
      <c r="D55" s="1"/>
    </row>
    <row r="56" spans="1:4" x14ac:dyDescent="0.3">
      <c r="A56" s="14"/>
      <c r="B56" s="14"/>
      <c r="C56" s="14"/>
      <c r="D56" s="14"/>
    </row>
    <row r="57" spans="1:4" x14ac:dyDescent="0.3">
      <c r="A57" t="s">
        <v>11</v>
      </c>
    </row>
    <row r="59" spans="1:4" x14ac:dyDescent="0.3">
      <c r="A59" t="s">
        <v>12</v>
      </c>
      <c r="B59" t="s">
        <v>13</v>
      </c>
    </row>
    <row r="65" spans="1:4" ht="15.6" x14ac:dyDescent="0.3">
      <c r="B65" s="4" t="s">
        <v>5</v>
      </c>
      <c r="C65" s="4"/>
    </row>
    <row r="66" spans="1:4" ht="15.6" x14ac:dyDescent="0.3">
      <c r="B66" s="4" t="s">
        <v>6</v>
      </c>
      <c r="C66" s="4"/>
    </row>
    <row r="67" spans="1:4" x14ac:dyDescent="0.3">
      <c r="A67" s="5" t="s">
        <v>7</v>
      </c>
      <c r="B67" s="5"/>
      <c r="C67" s="5"/>
      <c r="D67" s="5"/>
    </row>
    <row r="68" spans="1:4" x14ac:dyDescent="0.3">
      <c r="A68" s="5"/>
      <c r="B68" s="5" t="s">
        <v>30</v>
      </c>
      <c r="C68" s="5"/>
      <c r="D68" s="5"/>
    </row>
    <row r="69" spans="1:4" x14ac:dyDescent="0.3">
      <c r="A69" t="s">
        <v>22</v>
      </c>
      <c r="B69" t="s">
        <v>25</v>
      </c>
      <c r="C69" s="6" t="s">
        <v>26</v>
      </c>
    </row>
    <row r="72" spans="1:4" ht="28.8" x14ac:dyDescent="0.3">
      <c r="A72" s="1" t="s">
        <v>0</v>
      </c>
      <c r="B72" s="2" t="s">
        <v>1</v>
      </c>
      <c r="C72" s="2" t="s">
        <v>2</v>
      </c>
      <c r="D72" s="2" t="s">
        <v>3</v>
      </c>
    </row>
    <row r="73" spans="1:4" x14ac:dyDescent="0.3">
      <c r="A73" s="3" t="s">
        <v>4</v>
      </c>
      <c r="B73" s="1">
        <v>19200</v>
      </c>
      <c r="C73" s="1">
        <v>16786.13</v>
      </c>
      <c r="D73" s="1">
        <v>57800</v>
      </c>
    </row>
    <row r="74" spans="1:4" x14ac:dyDescent="0.3">
      <c r="A74" s="49" t="s">
        <v>32</v>
      </c>
      <c r="B74" s="50"/>
      <c r="C74" s="51"/>
      <c r="D74" s="1">
        <f>B73-D73</f>
        <v>-38600</v>
      </c>
    </row>
    <row r="75" spans="1:4" x14ac:dyDescent="0.3">
      <c r="A75" s="13"/>
      <c r="B75" s="13"/>
      <c r="C75" s="13"/>
      <c r="D75" s="14"/>
    </row>
    <row r="76" spans="1:4" ht="28.8" x14ac:dyDescent="0.3">
      <c r="A76" s="3" t="s">
        <v>37</v>
      </c>
      <c r="B76" s="3"/>
      <c r="C76" s="21" t="s">
        <v>41</v>
      </c>
      <c r="D76" s="3"/>
    </row>
    <row r="77" spans="1:4" x14ac:dyDescent="0.3">
      <c r="A77" s="3" t="s">
        <v>38</v>
      </c>
      <c r="B77" s="1"/>
      <c r="C77" s="1">
        <v>0</v>
      </c>
      <c r="D77" s="1"/>
    </row>
    <row r="78" spans="1:4" x14ac:dyDescent="0.3">
      <c r="A78" s="52" t="s">
        <v>39</v>
      </c>
      <c r="B78" s="51"/>
      <c r="C78" s="1">
        <f>2100+1700+1700</f>
        <v>5500</v>
      </c>
      <c r="D78" s="1"/>
    </row>
    <row r="79" spans="1:4" x14ac:dyDescent="0.3">
      <c r="A79" s="52"/>
      <c r="B79" s="51"/>
      <c r="C79" s="1">
        <v>0</v>
      </c>
      <c r="D79" s="1"/>
    </row>
    <row r="80" spans="1:4" x14ac:dyDescent="0.3">
      <c r="A80" s="3" t="s">
        <v>40</v>
      </c>
      <c r="B80" s="1"/>
      <c r="C80" s="1">
        <v>0</v>
      </c>
      <c r="D80" s="1"/>
    </row>
    <row r="81" spans="1:4" x14ac:dyDescent="0.3">
      <c r="A81" s="52" t="s">
        <v>62</v>
      </c>
      <c r="B81" s="51"/>
      <c r="C81" s="1">
        <v>49800</v>
      </c>
      <c r="D81" s="1"/>
    </row>
    <row r="82" spans="1:4" x14ac:dyDescent="0.3">
      <c r="A82" s="52"/>
      <c r="B82" s="51"/>
      <c r="C82" s="1">
        <v>0</v>
      </c>
      <c r="D82" s="1"/>
    </row>
    <row r="83" spans="1:4" ht="14.4" customHeight="1" x14ac:dyDescent="0.3">
      <c r="A83" s="61" t="s">
        <v>47</v>
      </c>
      <c r="B83" s="51"/>
      <c r="C83" s="1">
        <v>0</v>
      </c>
      <c r="D83" s="1"/>
    </row>
    <row r="84" spans="1:4" ht="14.4" customHeight="1" x14ac:dyDescent="0.3">
      <c r="A84" s="52"/>
      <c r="B84" s="51"/>
      <c r="C84" s="1">
        <v>0</v>
      </c>
      <c r="D84" s="1"/>
    </row>
    <row r="85" spans="1:4" ht="14.4" customHeight="1" x14ac:dyDescent="0.3">
      <c r="A85" s="52"/>
      <c r="B85" s="51"/>
      <c r="C85" s="1">
        <v>0</v>
      </c>
      <c r="D85" s="1"/>
    </row>
    <row r="86" spans="1:4" x14ac:dyDescent="0.3">
      <c r="A86" s="56" t="s">
        <v>52</v>
      </c>
      <c r="B86" s="57"/>
      <c r="C86" s="1">
        <v>0</v>
      </c>
      <c r="D86" s="1"/>
    </row>
    <row r="87" spans="1:4" x14ac:dyDescent="0.3">
      <c r="A87" s="52" t="s">
        <v>53</v>
      </c>
      <c r="B87" s="51"/>
      <c r="C87" s="1">
        <f>1700+800</f>
        <v>2500</v>
      </c>
      <c r="D87" s="1"/>
    </row>
    <row r="88" spans="1:4" x14ac:dyDescent="0.3">
      <c r="A88" s="59" t="s">
        <v>42</v>
      </c>
      <c r="B88" s="51"/>
      <c r="C88" s="3">
        <f>SUM(C77:C87)</f>
        <v>57800</v>
      </c>
      <c r="D88" s="1"/>
    </row>
    <row r="89" spans="1:4" x14ac:dyDescent="0.3">
      <c r="A89" s="14"/>
      <c r="B89" s="14"/>
      <c r="C89" s="14"/>
      <c r="D89" s="14"/>
    </row>
    <row r="90" spans="1:4" x14ac:dyDescent="0.3">
      <c r="A90" t="s">
        <v>11</v>
      </c>
    </row>
    <row r="92" spans="1:4" x14ac:dyDescent="0.3">
      <c r="A92" t="s">
        <v>12</v>
      </c>
      <c r="B92" t="s">
        <v>13</v>
      </c>
    </row>
    <row r="94" spans="1:4" x14ac:dyDescent="0.3">
      <c r="A94" t="s">
        <v>12</v>
      </c>
      <c r="B94" t="s">
        <v>13</v>
      </c>
    </row>
    <row r="99" spans="1:4" ht="15.6" x14ac:dyDescent="0.3">
      <c r="B99" s="4" t="s">
        <v>5</v>
      </c>
      <c r="C99" s="4"/>
    </row>
    <row r="100" spans="1:4" ht="15.6" x14ac:dyDescent="0.3">
      <c r="B100" s="4" t="s">
        <v>6</v>
      </c>
      <c r="C100" s="4"/>
    </row>
    <row r="101" spans="1:4" x14ac:dyDescent="0.3">
      <c r="A101" s="5" t="s">
        <v>7</v>
      </c>
      <c r="B101" s="5"/>
      <c r="C101" s="5"/>
      <c r="D101" s="5"/>
    </row>
    <row r="102" spans="1:4" x14ac:dyDescent="0.3">
      <c r="A102" s="5"/>
      <c r="B102" s="5" t="s">
        <v>30</v>
      </c>
      <c r="C102" s="5"/>
      <c r="D102" s="5"/>
    </row>
    <row r="103" spans="1:4" x14ac:dyDescent="0.3">
      <c r="A103" t="s">
        <v>22</v>
      </c>
      <c r="B103" t="s">
        <v>25</v>
      </c>
      <c r="C103" s="6">
        <v>4</v>
      </c>
    </row>
    <row r="106" spans="1:4" ht="28.8" x14ac:dyDescent="0.3">
      <c r="A106" s="1" t="s">
        <v>0</v>
      </c>
      <c r="B106" s="2" t="s">
        <v>1</v>
      </c>
      <c r="C106" s="2" t="s">
        <v>2</v>
      </c>
      <c r="D106" s="2" t="s">
        <v>3</v>
      </c>
    </row>
    <row r="107" spans="1:4" x14ac:dyDescent="0.3">
      <c r="A107" s="3" t="s">
        <v>4</v>
      </c>
      <c r="B107" s="1">
        <v>5158.6400000000003</v>
      </c>
      <c r="C107" s="1">
        <v>4364.29</v>
      </c>
      <c r="D107" s="1">
        <v>11000</v>
      </c>
    </row>
    <row r="108" spans="1:4" x14ac:dyDescent="0.3">
      <c r="A108" s="49" t="s">
        <v>32</v>
      </c>
      <c r="B108" s="50"/>
      <c r="C108" s="51"/>
      <c r="D108" s="1">
        <f>B107-D107</f>
        <v>-5841.36</v>
      </c>
    </row>
    <row r="109" spans="1:4" x14ac:dyDescent="0.3">
      <c r="A109" s="13"/>
      <c r="B109" s="13"/>
      <c r="C109" s="13"/>
      <c r="D109" s="14"/>
    </row>
    <row r="110" spans="1:4" ht="28.8" x14ac:dyDescent="0.3">
      <c r="A110" s="3" t="s">
        <v>37</v>
      </c>
      <c r="B110" s="3"/>
      <c r="C110" s="21" t="s">
        <v>41</v>
      </c>
      <c r="D110" s="3"/>
    </row>
    <row r="111" spans="1:4" x14ac:dyDescent="0.3">
      <c r="A111" s="3" t="s">
        <v>38</v>
      </c>
      <c r="B111" s="1"/>
      <c r="C111" s="1">
        <v>0</v>
      </c>
      <c r="D111" s="1"/>
    </row>
    <row r="112" spans="1:4" x14ac:dyDescent="0.3">
      <c r="A112" s="52"/>
      <c r="B112" s="51"/>
      <c r="C112" s="1">
        <v>0</v>
      </c>
      <c r="D112" s="1"/>
    </row>
    <row r="113" spans="1:4" x14ac:dyDescent="0.3">
      <c r="A113" s="52"/>
      <c r="B113" s="51"/>
      <c r="C113" s="1">
        <v>0</v>
      </c>
      <c r="D113" s="1"/>
    </row>
    <row r="114" spans="1:4" x14ac:dyDescent="0.3">
      <c r="A114" s="3" t="s">
        <v>40</v>
      </c>
      <c r="B114" s="1"/>
      <c r="C114" s="1">
        <v>0</v>
      </c>
      <c r="D114" s="1"/>
    </row>
    <row r="115" spans="1:4" x14ac:dyDescent="0.3">
      <c r="A115" s="52" t="s">
        <v>63</v>
      </c>
      <c r="B115" s="51"/>
      <c r="C115" s="1">
        <f>1800+3700</f>
        <v>5500</v>
      </c>
      <c r="D115" s="1"/>
    </row>
    <row r="116" spans="1:4" x14ac:dyDescent="0.3">
      <c r="A116" s="52"/>
      <c r="B116" s="51"/>
      <c r="C116" s="1">
        <v>0</v>
      </c>
      <c r="D116" s="1"/>
    </row>
    <row r="117" spans="1:4" x14ac:dyDescent="0.3">
      <c r="A117" s="61" t="s">
        <v>47</v>
      </c>
      <c r="B117" s="51"/>
      <c r="C117" s="1">
        <v>0</v>
      </c>
      <c r="D117" s="1"/>
    </row>
    <row r="118" spans="1:4" x14ac:dyDescent="0.3">
      <c r="A118" s="52" t="s">
        <v>64</v>
      </c>
      <c r="B118" s="51"/>
      <c r="C118" s="1">
        <f>600+1400+300</f>
        <v>2300</v>
      </c>
      <c r="D118" s="1"/>
    </row>
    <row r="119" spans="1:4" x14ac:dyDescent="0.3">
      <c r="A119" s="52" t="s">
        <v>65</v>
      </c>
      <c r="B119" s="51"/>
      <c r="C119" s="1">
        <v>3200</v>
      </c>
      <c r="D119" s="1"/>
    </row>
    <row r="120" spans="1:4" x14ac:dyDescent="0.3">
      <c r="A120" s="59" t="s">
        <v>42</v>
      </c>
      <c r="B120" s="51"/>
      <c r="C120" s="3">
        <f>SUM(C111:C119)</f>
        <v>11000</v>
      </c>
      <c r="D120" s="1"/>
    </row>
    <row r="121" spans="1:4" x14ac:dyDescent="0.3">
      <c r="A121" s="14"/>
      <c r="B121" s="14"/>
      <c r="C121" s="14"/>
      <c r="D121" s="14"/>
    </row>
    <row r="122" spans="1:4" x14ac:dyDescent="0.3">
      <c r="A122" t="s">
        <v>11</v>
      </c>
    </row>
    <row r="124" spans="1:4" x14ac:dyDescent="0.3">
      <c r="A124" t="s">
        <v>12</v>
      </c>
      <c r="B124" t="s">
        <v>13</v>
      </c>
    </row>
    <row r="126" spans="1:4" x14ac:dyDescent="0.3">
      <c r="A126" t="s">
        <v>12</v>
      </c>
      <c r="B126" t="s">
        <v>13</v>
      </c>
    </row>
    <row r="131" spans="1:4" ht="15.6" x14ac:dyDescent="0.3">
      <c r="B131" s="4" t="s">
        <v>5</v>
      </c>
      <c r="C131" s="4"/>
    </row>
    <row r="132" spans="1:4" ht="15.6" x14ac:dyDescent="0.3">
      <c r="B132" s="4" t="s">
        <v>6</v>
      </c>
      <c r="C132" s="4"/>
    </row>
    <row r="133" spans="1:4" x14ac:dyDescent="0.3">
      <c r="A133" s="5" t="s">
        <v>7</v>
      </c>
      <c r="B133" s="5"/>
      <c r="C133" s="5"/>
      <c r="D133" s="5"/>
    </row>
    <row r="134" spans="1:4" x14ac:dyDescent="0.3">
      <c r="A134" s="5"/>
      <c r="B134" s="5" t="s">
        <v>30</v>
      </c>
      <c r="C134" s="5"/>
      <c r="D134" s="5"/>
    </row>
    <row r="135" spans="1:4" x14ac:dyDescent="0.3">
      <c r="A135" t="s">
        <v>22</v>
      </c>
      <c r="B135" t="s">
        <v>25</v>
      </c>
      <c r="C135" s="6" t="s">
        <v>20</v>
      </c>
    </row>
    <row r="138" spans="1:4" ht="28.8" x14ac:dyDescent="0.3">
      <c r="A138" s="1" t="s">
        <v>0</v>
      </c>
      <c r="B138" s="2" t="s">
        <v>1</v>
      </c>
      <c r="C138" s="2" t="s">
        <v>2</v>
      </c>
      <c r="D138" s="2" t="s">
        <v>3</v>
      </c>
    </row>
    <row r="139" spans="1:4" x14ac:dyDescent="0.3">
      <c r="A139" s="3" t="s">
        <v>4</v>
      </c>
      <c r="B139" s="1">
        <v>25918.32</v>
      </c>
      <c r="C139" s="1">
        <v>26268.14</v>
      </c>
      <c r="D139" s="1">
        <v>36900</v>
      </c>
    </row>
    <row r="140" spans="1:4" x14ac:dyDescent="0.3">
      <c r="A140" s="49" t="s">
        <v>32</v>
      </c>
      <c r="B140" s="50"/>
      <c r="C140" s="51"/>
      <c r="D140" s="1">
        <f>B139-D139</f>
        <v>-10981.68</v>
      </c>
    </row>
    <row r="141" spans="1:4" x14ac:dyDescent="0.3">
      <c r="A141" s="13"/>
      <c r="B141" s="13"/>
      <c r="C141" s="13"/>
      <c r="D141" s="14"/>
    </row>
    <row r="142" spans="1:4" ht="28.8" x14ac:dyDescent="0.3">
      <c r="A142" s="3" t="s">
        <v>37</v>
      </c>
      <c r="B142" s="3"/>
      <c r="C142" s="21" t="s">
        <v>41</v>
      </c>
      <c r="D142" s="3"/>
    </row>
    <row r="143" spans="1:4" x14ac:dyDescent="0.3">
      <c r="A143" s="3" t="s">
        <v>38</v>
      </c>
      <c r="B143" s="1"/>
      <c r="C143" s="1">
        <v>0</v>
      </c>
      <c r="D143" s="1"/>
    </row>
    <row r="144" spans="1:4" x14ac:dyDescent="0.3">
      <c r="A144" s="52"/>
      <c r="B144" s="51"/>
      <c r="C144" s="1">
        <v>0</v>
      </c>
      <c r="D144" s="1"/>
    </row>
    <row r="145" spans="1:4" x14ac:dyDescent="0.3">
      <c r="A145" s="52"/>
      <c r="B145" s="51"/>
      <c r="C145" s="1">
        <v>0</v>
      </c>
      <c r="D145" s="1"/>
    </row>
    <row r="146" spans="1:4" x14ac:dyDescent="0.3">
      <c r="A146" s="3" t="s">
        <v>40</v>
      </c>
      <c r="B146" s="1"/>
      <c r="C146" s="1">
        <v>0</v>
      </c>
      <c r="D146" s="1"/>
    </row>
    <row r="147" spans="1:4" x14ac:dyDescent="0.3">
      <c r="A147" s="52" t="s">
        <v>66</v>
      </c>
      <c r="B147" s="51"/>
      <c r="C147" s="1">
        <v>6500</v>
      </c>
      <c r="D147" s="1"/>
    </row>
    <row r="148" spans="1:4" ht="14.4" customHeight="1" x14ac:dyDescent="0.3">
      <c r="A148" s="52" t="s">
        <v>67</v>
      </c>
      <c r="B148" s="62"/>
      <c r="C148" s="1">
        <v>12600</v>
      </c>
      <c r="D148" s="1"/>
    </row>
    <row r="149" spans="1:4" x14ac:dyDescent="0.3">
      <c r="A149" s="52" t="s">
        <v>68</v>
      </c>
      <c r="B149" s="62"/>
      <c r="C149" s="1">
        <v>13100</v>
      </c>
      <c r="D149" s="1"/>
    </row>
    <row r="150" spans="1:4" x14ac:dyDescent="0.3">
      <c r="A150" s="52" t="s">
        <v>69</v>
      </c>
      <c r="B150" s="62"/>
      <c r="C150" s="1">
        <v>3500</v>
      </c>
      <c r="D150" s="1"/>
    </row>
    <row r="151" spans="1:4" ht="14.4" customHeight="1" x14ac:dyDescent="0.3">
      <c r="A151" s="61" t="s">
        <v>47</v>
      </c>
      <c r="B151" s="51"/>
      <c r="C151" s="1">
        <v>0</v>
      </c>
      <c r="D151" s="1"/>
    </row>
    <row r="152" spans="1:4" ht="14.4" customHeight="1" x14ac:dyDescent="0.3">
      <c r="A152" s="52"/>
      <c r="B152" s="51"/>
      <c r="C152" s="1">
        <v>0</v>
      </c>
      <c r="D152" s="1"/>
    </row>
    <row r="153" spans="1:4" ht="14.4" customHeight="1" x14ac:dyDescent="0.3">
      <c r="A153" s="52"/>
      <c r="B153" s="51"/>
      <c r="C153" s="1">
        <v>0</v>
      </c>
      <c r="D153" s="1"/>
    </row>
    <row r="154" spans="1:4" x14ac:dyDescent="0.3">
      <c r="A154" s="56" t="s">
        <v>52</v>
      </c>
      <c r="B154" s="57"/>
      <c r="C154" s="1">
        <v>0</v>
      </c>
      <c r="D154" s="1"/>
    </row>
    <row r="155" spans="1:4" x14ac:dyDescent="0.3">
      <c r="A155" s="52" t="s">
        <v>53</v>
      </c>
      <c r="B155" s="51"/>
      <c r="C155" s="1">
        <f>800+400</f>
        <v>1200</v>
      </c>
      <c r="D155" s="1"/>
    </row>
    <row r="156" spans="1:4" x14ac:dyDescent="0.3">
      <c r="A156" s="59" t="s">
        <v>42</v>
      </c>
      <c r="B156" s="51"/>
      <c r="C156" s="3">
        <f>SUM(C143:C155)</f>
        <v>36900</v>
      </c>
      <c r="D156" s="1"/>
    </row>
    <row r="157" spans="1:4" x14ac:dyDescent="0.3">
      <c r="A157" s="14"/>
      <c r="B157" s="14"/>
      <c r="C157" s="14"/>
      <c r="D157" s="14"/>
    </row>
    <row r="158" spans="1:4" x14ac:dyDescent="0.3">
      <c r="A158" t="s">
        <v>11</v>
      </c>
    </row>
    <row r="160" spans="1:4" x14ac:dyDescent="0.3">
      <c r="A160" t="s">
        <v>12</v>
      </c>
      <c r="B160" t="s">
        <v>13</v>
      </c>
    </row>
    <row r="163" spans="1:4" ht="15.6" x14ac:dyDescent="0.3">
      <c r="B163" s="4" t="s">
        <v>5</v>
      </c>
      <c r="C163" s="4"/>
    </row>
    <row r="164" spans="1:4" ht="15.6" x14ac:dyDescent="0.3">
      <c r="B164" s="4" t="s">
        <v>6</v>
      </c>
      <c r="C164" s="4"/>
    </row>
    <row r="165" spans="1:4" x14ac:dyDescent="0.3">
      <c r="A165" s="5" t="s">
        <v>7</v>
      </c>
      <c r="B165" s="5"/>
      <c r="C165" s="5"/>
      <c r="D165" s="5"/>
    </row>
    <row r="166" spans="1:4" x14ac:dyDescent="0.3">
      <c r="A166" s="5"/>
      <c r="B166" s="5" t="s">
        <v>30</v>
      </c>
      <c r="C166" s="5"/>
      <c r="D166" s="5"/>
    </row>
    <row r="167" spans="1:4" x14ac:dyDescent="0.3">
      <c r="A167" t="s">
        <v>22</v>
      </c>
      <c r="B167" t="s">
        <v>25</v>
      </c>
      <c r="C167" s="6">
        <v>8</v>
      </c>
    </row>
    <row r="170" spans="1:4" ht="28.8" x14ac:dyDescent="0.3">
      <c r="A170" s="1" t="s">
        <v>0</v>
      </c>
      <c r="B170" s="2" t="s">
        <v>1</v>
      </c>
      <c r="C170" s="2" t="s">
        <v>2</v>
      </c>
      <c r="D170" s="2" t="s">
        <v>3</v>
      </c>
    </row>
    <row r="171" spans="1:4" x14ac:dyDescent="0.3">
      <c r="A171" s="3" t="s">
        <v>4</v>
      </c>
      <c r="B171" s="1">
        <v>26224.02</v>
      </c>
      <c r="C171" s="1">
        <v>25974.32</v>
      </c>
      <c r="D171" s="1">
        <v>1200</v>
      </c>
    </row>
    <row r="172" spans="1:4" x14ac:dyDescent="0.3">
      <c r="A172" s="49" t="s">
        <v>31</v>
      </c>
      <c r="B172" s="50"/>
      <c r="C172" s="51"/>
      <c r="D172" s="1">
        <f>B171-D171</f>
        <v>25024.02</v>
      </c>
    </row>
    <row r="173" spans="1:4" x14ac:dyDescent="0.3">
      <c r="A173" s="13"/>
      <c r="B173" s="13"/>
      <c r="C173" s="13"/>
      <c r="D173" s="14"/>
    </row>
    <row r="174" spans="1:4" ht="28.8" x14ac:dyDescent="0.3">
      <c r="A174" s="3" t="s">
        <v>37</v>
      </c>
      <c r="B174" s="3"/>
      <c r="C174" s="21" t="s">
        <v>41</v>
      </c>
      <c r="D174" s="3"/>
    </row>
    <row r="175" spans="1:4" x14ac:dyDescent="0.3">
      <c r="A175" s="3" t="s">
        <v>38</v>
      </c>
      <c r="B175" s="1"/>
      <c r="C175" s="1">
        <v>0</v>
      </c>
      <c r="D175" s="1"/>
    </row>
    <row r="176" spans="1:4" x14ac:dyDescent="0.3">
      <c r="A176" s="52"/>
      <c r="B176" s="51"/>
      <c r="C176" s="1">
        <v>0</v>
      </c>
      <c r="D176" s="1"/>
    </row>
    <row r="177" spans="1:4" x14ac:dyDescent="0.3">
      <c r="A177" s="52"/>
      <c r="B177" s="51"/>
      <c r="C177" s="1">
        <v>0</v>
      </c>
      <c r="D177" s="1"/>
    </row>
    <row r="178" spans="1:4" x14ac:dyDescent="0.3">
      <c r="A178" s="3" t="s">
        <v>40</v>
      </c>
      <c r="B178" s="1"/>
      <c r="C178" s="1">
        <v>0</v>
      </c>
      <c r="D178" s="1"/>
    </row>
    <row r="179" spans="1:4" x14ac:dyDescent="0.3">
      <c r="A179" s="52" t="s">
        <v>58</v>
      </c>
      <c r="B179" s="51"/>
      <c r="C179" s="1">
        <v>1200</v>
      </c>
      <c r="D179" s="1"/>
    </row>
    <row r="180" spans="1:4" x14ac:dyDescent="0.3">
      <c r="A180" s="52"/>
      <c r="B180" s="51"/>
      <c r="C180" s="1">
        <v>0</v>
      </c>
      <c r="D180" s="1"/>
    </row>
    <row r="181" spans="1:4" ht="14.4" customHeight="1" x14ac:dyDescent="0.3">
      <c r="A181" s="61" t="s">
        <v>47</v>
      </c>
      <c r="B181" s="51"/>
      <c r="C181" s="1">
        <v>0</v>
      </c>
      <c r="D181" s="1"/>
    </row>
    <row r="182" spans="1:4" x14ac:dyDescent="0.3">
      <c r="A182" s="52"/>
      <c r="B182" s="51"/>
      <c r="C182" s="1">
        <v>0</v>
      </c>
      <c r="D182" s="1"/>
    </row>
    <row r="183" spans="1:4" x14ac:dyDescent="0.3">
      <c r="A183" s="52"/>
      <c r="B183" s="51"/>
      <c r="C183" s="1">
        <v>0</v>
      </c>
      <c r="D183" s="1"/>
    </row>
    <row r="184" spans="1:4" x14ac:dyDescent="0.3">
      <c r="A184" s="59" t="s">
        <v>42</v>
      </c>
      <c r="B184" s="51"/>
      <c r="C184" s="3">
        <f>SUM(C175:C183)</f>
        <v>1200</v>
      </c>
      <c r="D184" s="1"/>
    </row>
    <row r="185" spans="1:4" x14ac:dyDescent="0.3">
      <c r="A185" s="14"/>
      <c r="B185" s="14"/>
      <c r="C185" s="14"/>
      <c r="D185" s="14"/>
    </row>
    <row r="186" spans="1:4" x14ac:dyDescent="0.3">
      <c r="A186" t="s">
        <v>11</v>
      </c>
    </row>
    <row r="188" spans="1:4" x14ac:dyDescent="0.3">
      <c r="A188" t="s">
        <v>12</v>
      </c>
      <c r="B188" t="s">
        <v>13</v>
      </c>
    </row>
    <row r="190" spans="1:4" x14ac:dyDescent="0.3">
      <c r="A190" t="s">
        <v>12</v>
      </c>
      <c r="B190" t="s">
        <v>13</v>
      </c>
    </row>
    <row r="196" spans="1:4" ht="15.6" x14ac:dyDescent="0.3">
      <c r="B196" s="4" t="s">
        <v>5</v>
      </c>
      <c r="C196" s="4"/>
    </row>
    <row r="197" spans="1:4" ht="15.6" x14ac:dyDescent="0.3">
      <c r="B197" s="4" t="s">
        <v>6</v>
      </c>
      <c r="C197" s="4"/>
    </row>
    <row r="198" spans="1:4" x14ac:dyDescent="0.3">
      <c r="A198" s="5" t="s">
        <v>7</v>
      </c>
      <c r="B198" s="5"/>
      <c r="C198" s="5"/>
      <c r="D198" s="5"/>
    </row>
    <row r="199" spans="1:4" x14ac:dyDescent="0.3">
      <c r="A199" s="5"/>
      <c r="B199" s="5" t="s">
        <v>30</v>
      </c>
      <c r="C199" s="5"/>
      <c r="D199" s="5"/>
    </row>
    <row r="200" spans="1:4" x14ac:dyDescent="0.3">
      <c r="A200" t="s">
        <v>22</v>
      </c>
      <c r="B200" t="s">
        <v>25</v>
      </c>
      <c r="C200" s="6">
        <v>9</v>
      </c>
    </row>
    <row r="203" spans="1:4" ht="28.8" x14ac:dyDescent="0.3">
      <c r="A203" s="1" t="s">
        <v>0</v>
      </c>
      <c r="B203" s="2" t="s">
        <v>1</v>
      </c>
      <c r="C203" s="2" t="s">
        <v>2</v>
      </c>
      <c r="D203" s="2" t="s">
        <v>3</v>
      </c>
    </row>
    <row r="204" spans="1:4" x14ac:dyDescent="0.3">
      <c r="A204" s="3" t="s">
        <v>4</v>
      </c>
      <c r="B204" s="1">
        <v>1620.26</v>
      </c>
      <c r="C204" s="1">
        <v>1524.17</v>
      </c>
      <c r="D204" s="1">
        <v>9100</v>
      </c>
    </row>
    <row r="205" spans="1:4" x14ac:dyDescent="0.3">
      <c r="A205" s="49" t="s">
        <v>32</v>
      </c>
      <c r="B205" s="50"/>
      <c r="C205" s="51"/>
      <c r="D205" s="1">
        <f>B204-D204</f>
        <v>-7479.74</v>
      </c>
    </row>
    <row r="206" spans="1:4" x14ac:dyDescent="0.3">
      <c r="A206" s="13"/>
      <c r="B206" s="13"/>
      <c r="C206" s="13"/>
      <c r="D206" s="14"/>
    </row>
    <row r="207" spans="1:4" ht="28.8" x14ac:dyDescent="0.3">
      <c r="A207" s="3" t="s">
        <v>37</v>
      </c>
      <c r="B207" s="3"/>
      <c r="C207" s="21" t="s">
        <v>41</v>
      </c>
      <c r="D207" s="3"/>
    </row>
    <row r="208" spans="1:4" x14ac:dyDescent="0.3">
      <c r="A208" s="3" t="s">
        <v>38</v>
      </c>
      <c r="B208" s="1"/>
      <c r="C208" s="1">
        <v>0</v>
      </c>
      <c r="D208" s="1"/>
    </row>
    <row r="209" spans="1:4" x14ac:dyDescent="0.3">
      <c r="A209" s="52"/>
      <c r="B209" s="51"/>
      <c r="C209" s="1">
        <v>0</v>
      </c>
      <c r="D209" s="1"/>
    </row>
    <row r="210" spans="1:4" x14ac:dyDescent="0.3">
      <c r="A210" s="52"/>
      <c r="B210" s="51"/>
      <c r="C210" s="1">
        <v>0</v>
      </c>
      <c r="D210" s="1"/>
    </row>
    <row r="211" spans="1:4" x14ac:dyDescent="0.3">
      <c r="A211" s="3" t="s">
        <v>40</v>
      </c>
      <c r="B211" s="1"/>
      <c r="C211" s="1">
        <v>0</v>
      </c>
      <c r="D211" s="1"/>
    </row>
    <row r="212" spans="1:4" x14ac:dyDescent="0.3">
      <c r="A212" s="52" t="s">
        <v>68</v>
      </c>
      <c r="B212" s="51"/>
      <c r="C212" s="1">
        <v>7800</v>
      </c>
      <c r="D212" s="1"/>
    </row>
    <row r="213" spans="1:4" x14ac:dyDescent="0.3">
      <c r="A213" s="52"/>
      <c r="B213" s="51"/>
      <c r="C213" s="1">
        <v>0</v>
      </c>
      <c r="D213" s="1"/>
    </row>
    <row r="214" spans="1:4" ht="14.4" customHeight="1" x14ac:dyDescent="0.3">
      <c r="A214" s="61" t="s">
        <v>47</v>
      </c>
      <c r="B214" s="51"/>
      <c r="C214" s="1">
        <v>0</v>
      </c>
      <c r="D214" s="1"/>
    </row>
    <row r="215" spans="1:4" x14ac:dyDescent="0.3">
      <c r="A215" s="52" t="s">
        <v>64</v>
      </c>
      <c r="B215" s="51"/>
      <c r="C215" s="1">
        <v>1300</v>
      </c>
      <c r="D215" s="1"/>
    </row>
    <row r="216" spans="1:4" x14ac:dyDescent="0.3">
      <c r="A216" s="52"/>
      <c r="B216" s="51"/>
      <c r="C216" s="1">
        <v>0</v>
      </c>
      <c r="D216" s="1"/>
    </row>
    <row r="217" spans="1:4" x14ac:dyDescent="0.3">
      <c r="A217" s="59" t="s">
        <v>42</v>
      </c>
      <c r="B217" s="51"/>
      <c r="C217" s="3">
        <f>SUM(C208:C216)</f>
        <v>9100</v>
      </c>
      <c r="D217" s="1"/>
    </row>
    <row r="218" spans="1:4" x14ac:dyDescent="0.3">
      <c r="A218" s="14"/>
      <c r="B218" s="14"/>
      <c r="C218" s="14"/>
      <c r="D218" s="14"/>
    </row>
    <row r="219" spans="1:4" x14ac:dyDescent="0.3">
      <c r="A219" t="s">
        <v>11</v>
      </c>
    </row>
    <row r="221" spans="1:4" x14ac:dyDescent="0.3">
      <c r="A221" t="s">
        <v>12</v>
      </c>
      <c r="B221" t="s">
        <v>13</v>
      </c>
    </row>
    <row r="225" spans="1:4" ht="15.6" x14ac:dyDescent="0.3">
      <c r="B225" s="4" t="s">
        <v>5</v>
      </c>
      <c r="C225" s="4"/>
    </row>
    <row r="226" spans="1:4" ht="15.6" x14ac:dyDescent="0.3">
      <c r="B226" s="4" t="s">
        <v>6</v>
      </c>
      <c r="C226" s="4"/>
    </row>
    <row r="227" spans="1:4" x14ac:dyDescent="0.3">
      <c r="A227" s="5" t="s">
        <v>7</v>
      </c>
      <c r="B227" s="5"/>
      <c r="C227" s="5"/>
      <c r="D227" s="5"/>
    </row>
    <row r="228" spans="1:4" x14ac:dyDescent="0.3">
      <c r="A228" s="5"/>
      <c r="B228" s="5" t="s">
        <v>30</v>
      </c>
      <c r="C228" s="5"/>
      <c r="D228" s="5"/>
    </row>
    <row r="229" spans="1:4" x14ac:dyDescent="0.3">
      <c r="A229" t="s">
        <v>22</v>
      </c>
      <c r="B229" t="s">
        <v>25</v>
      </c>
      <c r="C229" s="6">
        <v>10</v>
      </c>
    </row>
    <row r="232" spans="1:4" ht="28.8" x14ac:dyDescent="0.3">
      <c r="A232" s="1" t="s">
        <v>0</v>
      </c>
      <c r="B232" s="2" t="s">
        <v>1</v>
      </c>
      <c r="C232" s="2" t="s">
        <v>2</v>
      </c>
      <c r="D232" s="2" t="s">
        <v>3</v>
      </c>
    </row>
    <row r="233" spans="1:4" x14ac:dyDescent="0.3">
      <c r="A233" s="3" t="s">
        <v>4</v>
      </c>
      <c r="B233" s="1">
        <v>22785.54</v>
      </c>
      <c r="C233" s="1">
        <v>21266.22</v>
      </c>
      <c r="D233" s="1">
        <v>2100</v>
      </c>
    </row>
    <row r="234" spans="1:4" x14ac:dyDescent="0.3">
      <c r="A234" s="49" t="s">
        <v>10</v>
      </c>
      <c r="B234" s="50"/>
      <c r="C234" s="51"/>
      <c r="D234" s="1">
        <f>B233-D233</f>
        <v>20685.54</v>
      </c>
    </row>
    <row r="235" spans="1:4" x14ac:dyDescent="0.3">
      <c r="A235" s="13"/>
      <c r="B235" s="13"/>
      <c r="C235" s="13"/>
      <c r="D235" s="14"/>
    </row>
    <row r="236" spans="1:4" ht="28.8" x14ac:dyDescent="0.3">
      <c r="A236" s="3" t="s">
        <v>37</v>
      </c>
      <c r="B236" s="3"/>
      <c r="C236" s="21" t="s">
        <v>41</v>
      </c>
      <c r="D236" s="3"/>
    </row>
    <row r="237" spans="1:4" x14ac:dyDescent="0.3">
      <c r="A237" s="3" t="s">
        <v>38</v>
      </c>
      <c r="B237" s="1"/>
      <c r="C237" s="1">
        <v>0</v>
      </c>
      <c r="D237" s="1"/>
    </row>
    <row r="238" spans="1:4" x14ac:dyDescent="0.3">
      <c r="A238" s="52" t="s">
        <v>58</v>
      </c>
      <c r="B238" s="51"/>
      <c r="C238" s="1">
        <v>300</v>
      </c>
      <c r="D238" s="1"/>
    </row>
    <row r="239" spans="1:4" x14ac:dyDescent="0.3">
      <c r="A239" s="52"/>
      <c r="B239" s="51"/>
      <c r="C239" s="1">
        <v>0</v>
      </c>
      <c r="D239" s="1"/>
    </row>
    <row r="240" spans="1:4" x14ac:dyDescent="0.3">
      <c r="A240" s="3" t="s">
        <v>40</v>
      </c>
      <c r="B240" s="1"/>
      <c r="C240" s="1">
        <v>0</v>
      </c>
      <c r="D240" s="1"/>
    </row>
    <row r="241" spans="1:4" x14ac:dyDescent="0.3">
      <c r="A241" s="52" t="s">
        <v>70</v>
      </c>
      <c r="B241" s="51"/>
      <c r="C241" s="1">
        <v>1500</v>
      </c>
      <c r="D241" s="1"/>
    </row>
    <row r="242" spans="1:4" x14ac:dyDescent="0.3">
      <c r="A242" s="52"/>
      <c r="B242" s="51"/>
      <c r="C242" s="1">
        <v>0</v>
      </c>
      <c r="D242" s="1"/>
    </row>
    <row r="243" spans="1:4" ht="14.4" customHeight="1" x14ac:dyDescent="0.3">
      <c r="A243" s="61" t="s">
        <v>47</v>
      </c>
      <c r="B243" s="51"/>
      <c r="C243" s="1">
        <v>0</v>
      </c>
      <c r="D243" s="1"/>
    </row>
    <row r="244" spans="1:4" x14ac:dyDescent="0.3">
      <c r="A244" s="52" t="s">
        <v>64</v>
      </c>
      <c r="B244" s="51"/>
      <c r="C244" s="1">
        <v>300</v>
      </c>
      <c r="D244" s="1"/>
    </row>
    <row r="245" spans="1:4" x14ac:dyDescent="0.3">
      <c r="A245" s="52"/>
      <c r="B245" s="51"/>
      <c r="C245" s="1">
        <v>0</v>
      </c>
      <c r="D245" s="1"/>
    </row>
    <row r="246" spans="1:4" x14ac:dyDescent="0.3">
      <c r="A246" s="59" t="s">
        <v>42</v>
      </c>
      <c r="B246" s="51"/>
      <c r="C246" s="3">
        <f>SUM(C237:C245)</f>
        <v>2100</v>
      </c>
      <c r="D246" s="1"/>
    </row>
    <row r="247" spans="1:4" x14ac:dyDescent="0.3">
      <c r="A247" s="14"/>
      <c r="B247" s="14"/>
      <c r="C247" s="14"/>
      <c r="D247" s="14"/>
    </row>
    <row r="248" spans="1:4" x14ac:dyDescent="0.3">
      <c r="A248" t="s">
        <v>11</v>
      </c>
    </row>
    <row r="250" spans="1:4" x14ac:dyDescent="0.3">
      <c r="A250" t="s">
        <v>12</v>
      </c>
      <c r="B250" t="s">
        <v>13</v>
      </c>
    </row>
    <row r="254" spans="1:4" ht="15.6" x14ac:dyDescent="0.3">
      <c r="B254" s="4" t="s">
        <v>5</v>
      </c>
      <c r="C254" s="4"/>
    </row>
    <row r="255" spans="1:4" ht="15.6" x14ac:dyDescent="0.3">
      <c r="B255" s="4" t="s">
        <v>6</v>
      </c>
      <c r="C255" s="4"/>
    </row>
    <row r="256" spans="1:4" x14ac:dyDescent="0.3">
      <c r="A256" s="5" t="s">
        <v>7</v>
      </c>
      <c r="B256" s="5"/>
      <c r="C256" s="5"/>
      <c r="D256" s="5"/>
    </row>
    <row r="257" spans="1:4" x14ac:dyDescent="0.3">
      <c r="A257" s="5"/>
      <c r="B257" s="5" t="s">
        <v>30</v>
      </c>
      <c r="C257" s="5"/>
      <c r="D257" s="5"/>
    </row>
    <row r="258" spans="1:4" x14ac:dyDescent="0.3">
      <c r="A258" t="s">
        <v>22</v>
      </c>
      <c r="B258" t="s">
        <v>25</v>
      </c>
      <c r="C258" s="6">
        <v>13</v>
      </c>
    </row>
    <row r="261" spans="1:4" ht="28.8" x14ac:dyDescent="0.3">
      <c r="A261" s="1" t="s">
        <v>0</v>
      </c>
      <c r="B261" s="2" t="s">
        <v>1</v>
      </c>
      <c r="C261" s="2" t="s">
        <v>2</v>
      </c>
      <c r="D261" s="2" t="s">
        <v>3</v>
      </c>
    </row>
    <row r="262" spans="1:4" x14ac:dyDescent="0.3">
      <c r="A262" s="3" t="s">
        <v>4</v>
      </c>
      <c r="B262" s="1">
        <v>3517.2</v>
      </c>
      <c r="C262" s="1">
        <v>2315.6799999999998</v>
      </c>
      <c r="D262" s="1">
        <v>3800</v>
      </c>
    </row>
    <row r="263" spans="1:4" x14ac:dyDescent="0.3">
      <c r="A263" s="49" t="s">
        <v>33</v>
      </c>
      <c r="B263" s="50"/>
      <c r="C263" s="51"/>
      <c r="D263" s="1">
        <f>B262-D262</f>
        <v>-282.80000000000018</v>
      </c>
    </row>
    <row r="264" spans="1:4" x14ac:dyDescent="0.3">
      <c r="A264" s="13"/>
      <c r="B264" s="13"/>
      <c r="C264" s="13"/>
      <c r="D264" s="14"/>
    </row>
    <row r="265" spans="1:4" ht="28.8" x14ac:dyDescent="0.3">
      <c r="A265" s="3" t="s">
        <v>37</v>
      </c>
      <c r="B265" s="3"/>
      <c r="C265" s="21" t="s">
        <v>41</v>
      </c>
      <c r="D265" s="3"/>
    </row>
    <row r="266" spans="1:4" x14ac:dyDescent="0.3">
      <c r="A266" s="3" t="s">
        <v>38</v>
      </c>
      <c r="B266" s="1"/>
      <c r="C266" s="1">
        <v>0</v>
      </c>
      <c r="D266" s="1"/>
    </row>
    <row r="267" spans="1:4" x14ac:dyDescent="0.3">
      <c r="A267" s="52"/>
      <c r="B267" s="51"/>
      <c r="C267" s="1">
        <v>0</v>
      </c>
      <c r="D267" s="1"/>
    </row>
    <row r="268" spans="1:4" x14ac:dyDescent="0.3">
      <c r="A268" s="52"/>
      <c r="B268" s="51"/>
      <c r="C268" s="1">
        <v>0</v>
      </c>
      <c r="D268" s="1"/>
    </row>
    <row r="269" spans="1:4" x14ac:dyDescent="0.3">
      <c r="A269" s="3" t="s">
        <v>40</v>
      </c>
      <c r="B269" s="1"/>
      <c r="C269" s="1">
        <v>0</v>
      </c>
      <c r="D269" s="1"/>
    </row>
    <row r="270" spans="1:4" x14ac:dyDescent="0.3">
      <c r="A270" s="52" t="s">
        <v>63</v>
      </c>
      <c r="B270" s="51"/>
      <c r="C270" s="1">
        <f>1800+2000</f>
        <v>3800</v>
      </c>
      <c r="D270" s="1"/>
    </row>
    <row r="271" spans="1:4" x14ac:dyDescent="0.3">
      <c r="A271" s="52"/>
      <c r="B271" s="51"/>
      <c r="C271" s="1">
        <v>0</v>
      </c>
      <c r="D271" s="1"/>
    </row>
    <row r="272" spans="1:4" ht="14.4" customHeight="1" x14ac:dyDescent="0.3">
      <c r="A272" s="61" t="s">
        <v>47</v>
      </c>
      <c r="B272" s="51"/>
      <c r="C272" s="1">
        <v>0</v>
      </c>
      <c r="D272" s="1"/>
    </row>
    <row r="273" spans="1:4" x14ac:dyDescent="0.3">
      <c r="A273" s="52"/>
      <c r="B273" s="51"/>
      <c r="C273" s="1">
        <v>0</v>
      </c>
      <c r="D273" s="1"/>
    </row>
    <row r="274" spans="1:4" x14ac:dyDescent="0.3">
      <c r="A274" s="52"/>
      <c r="B274" s="51"/>
      <c r="C274" s="1">
        <v>0</v>
      </c>
      <c r="D274" s="1"/>
    </row>
    <row r="275" spans="1:4" x14ac:dyDescent="0.3">
      <c r="A275" s="59" t="s">
        <v>42</v>
      </c>
      <c r="B275" s="51"/>
      <c r="C275" s="3">
        <f>SUM(C266:C274)</f>
        <v>3800</v>
      </c>
      <c r="D275" s="1"/>
    </row>
    <row r="276" spans="1:4" x14ac:dyDescent="0.3">
      <c r="A276" s="14"/>
      <c r="B276" s="14"/>
      <c r="C276" s="14"/>
      <c r="D276" s="14"/>
    </row>
    <row r="277" spans="1:4" x14ac:dyDescent="0.3">
      <c r="A277" t="s">
        <v>11</v>
      </c>
    </row>
    <row r="279" spans="1:4" x14ac:dyDescent="0.3">
      <c r="A279" t="s">
        <v>12</v>
      </c>
      <c r="B279" t="s">
        <v>13</v>
      </c>
    </row>
    <row r="282" spans="1:4" ht="15.6" x14ac:dyDescent="0.3">
      <c r="B282" s="4" t="s">
        <v>5</v>
      </c>
      <c r="C282" s="4"/>
    </row>
    <row r="283" spans="1:4" ht="15.6" x14ac:dyDescent="0.3">
      <c r="B283" s="4" t="s">
        <v>6</v>
      </c>
      <c r="C283" s="4"/>
    </row>
    <row r="284" spans="1:4" x14ac:dyDescent="0.3">
      <c r="A284" s="5" t="s">
        <v>7</v>
      </c>
      <c r="B284" s="5"/>
      <c r="C284" s="5"/>
      <c r="D284" s="5"/>
    </row>
    <row r="285" spans="1:4" x14ac:dyDescent="0.3">
      <c r="A285" s="5"/>
      <c r="B285" s="5" t="s">
        <v>30</v>
      </c>
      <c r="C285" s="5"/>
      <c r="D285" s="5"/>
    </row>
    <row r="286" spans="1:4" x14ac:dyDescent="0.3">
      <c r="A286" t="s">
        <v>22</v>
      </c>
      <c r="B286" t="s">
        <v>25</v>
      </c>
      <c r="C286" s="6">
        <v>14</v>
      </c>
    </row>
    <row r="289" spans="1:4" ht="28.8" x14ac:dyDescent="0.3">
      <c r="A289" s="1" t="s">
        <v>0</v>
      </c>
      <c r="B289" s="2" t="s">
        <v>1</v>
      </c>
      <c r="C289" s="2" t="s">
        <v>2</v>
      </c>
      <c r="D289" s="2" t="s">
        <v>3</v>
      </c>
    </row>
    <row r="290" spans="1:4" x14ac:dyDescent="0.3">
      <c r="A290" s="3" t="s">
        <v>4</v>
      </c>
      <c r="B290" s="1">
        <v>30013.86</v>
      </c>
      <c r="C290" s="1">
        <v>28917.54</v>
      </c>
      <c r="D290" s="1">
        <v>33500</v>
      </c>
    </row>
    <row r="291" spans="1:4" x14ac:dyDescent="0.3">
      <c r="A291" s="49" t="s">
        <v>32</v>
      </c>
      <c r="B291" s="50"/>
      <c r="C291" s="51"/>
      <c r="D291" s="1">
        <f>B290-D290</f>
        <v>-3486.1399999999994</v>
      </c>
    </row>
    <row r="292" spans="1:4" x14ac:dyDescent="0.3">
      <c r="A292" s="13"/>
      <c r="B292" s="13"/>
      <c r="C292" s="13"/>
      <c r="D292" s="14"/>
    </row>
    <row r="293" spans="1:4" ht="28.8" x14ac:dyDescent="0.3">
      <c r="A293" s="3" t="s">
        <v>37</v>
      </c>
      <c r="B293" s="3"/>
      <c r="C293" s="21" t="s">
        <v>41</v>
      </c>
      <c r="D293" s="3"/>
    </row>
    <row r="294" spans="1:4" x14ac:dyDescent="0.3">
      <c r="A294" s="3" t="s">
        <v>38</v>
      </c>
      <c r="B294" s="1"/>
      <c r="C294" s="1">
        <v>0</v>
      </c>
      <c r="D294" s="1"/>
    </row>
    <row r="295" spans="1:4" x14ac:dyDescent="0.3">
      <c r="A295" s="52" t="s">
        <v>71</v>
      </c>
      <c r="B295" s="51"/>
      <c r="C295" s="1">
        <v>32900</v>
      </c>
      <c r="D295" s="1"/>
    </row>
    <row r="296" spans="1:4" x14ac:dyDescent="0.3">
      <c r="A296" s="52"/>
      <c r="B296" s="51"/>
      <c r="C296" s="1">
        <v>0</v>
      </c>
      <c r="D296" s="1"/>
    </row>
    <row r="297" spans="1:4" x14ac:dyDescent="0.3">
      <c r="A297" s="3" t="s">
        <v>40</v>
      </c>
      <c r="B297" s="1"/>
      <c r="C297" s="1">
        <v>0</v>
      </c>
      <c r="D297" s="1"/>
    </row>
    <row r="298" spans="1:4" x14ac:dyDescent="0.3">
      <c r="A298" s="52" t="s">
        <v>51</v>
      </c>
      <c r="B298" s="51"/>
      <c r="C298" s="1">
        <v>300</v>
      </c>
      <c r="D298" s="1"/>
    </row>
    <row r="299" spans="1:4" x14ac:dyDescent="0.3">
      <c r="A299" s="52"/>
      <c r="B299" s="51"/>
      <c r="C299" s="1">
        <v>0</v>
      </c>
      <c r="D299" s="1"/>
    </row>
    <row r="300" spans="1:4" x14ac:dyDescent="0.3">
      <c r="A300" s="61" t="s">
        <v>47</v>
      </c>
      <c r="B300" s="51"/>
      <c r="C300" s="1">
        <v>0</v>
      </c>
      <c r="D300" s="1"/>
    </row>
    <row r="301" spans="1:4" x14ac:dyDescent="0.3">
      <c r="A301" s="52" t="s">
        <v>64</v>
      </c>
      <c r="B301" s="51"/>
      <c r="C301" s="1">
        <v>300</v>
      </c>
      <c r="D301" s="1"/>
    </row>
    <row r="302" spans="1:4" x14ac:dyDescent="0.3">
      <c r="A302" s="52"/>
      <c r="B302" s="51"/>
      <c r="C302" s="1">
        <v>0</v>
      </c>
      <c r="D302" s="1"/>
    </row>
    <row r="303" spans="1:4" x14ac:dyDescent="0.3">
      <c r="A303" s="59" t="s">
        <v>42</v>
      </c>
      <c r="B303" s="51"/>
      <c r="C303" s="3">
        <f>SUM(C294:C302)</f>
        <v>33500</v>
      </c>
      <c r="D303" s="1"/>
    </row>
    <row r="304" spans="1:4" x14ac:dyDescent="0.3">
      <c r="A304" s="14"/>
      <c r="B304" s="14"/>
      <c r="C304" s="14"/>
      <c r="D304" s="14"/>
    </row>
    <row r="305" spans="1:4" x14ac:dyDescent="0.3">
      <c r="A305" t="s">
        <v>11</v>
      </c>
    </row>
    <row r="307" spans="1:4" x14ac:dyDescent="0.3">
      <c r="A307" t="s">
        <v>12</v>
      </c>
      <c r="B307" t="s">
        <v>13</v>
      </c>
    </row>
    <row r="310" spans="1:4" ht="15.6" x14ac:dyDescent="0.3">
      <c r="B310" s="4" t="s">
        <v>5</v>
      </c>
      <c r="C310" s="4"/>
    </row>
    <row r="311" spans="1:4" ht="15.6" x14ac:dyDescent="0.3">
      <c r="B311" s="4" t="s">
        <v>6</v>
      </c>
      <c r="C311" s="4"/>
    </row>
    <row r="312" spans="1:4" x14ac:dyDescent="0.3">
      <c r="A312" s="5" t="s">
        <v>7</v>
      </c>
      <c r="B312" s="5"/>
      <c r="C312" s="5"/>
      <c r="D312" s="5"/>
    </row>
    <row r="313" spans="1:4" x14ac:dyDescent="0.3">
      <c r="A313" s="5"/>
      <c r="B313" s="5" t="s">
        <v>30</v>
      </c>
      <c r="C313" s="5"/>
      <c r="D313" s="5"/>
    </row>
    <row r="314" spans="1:4" x14ac:dyDescent="0.3">
      <c r="A314" t="s">
        <v>22</v>
      </c>
      <c r="B314" t="s">
        <v>25</v>
      </c>
      <c r="C314" s="6">
        <v>15</v>
      </c>
    </row>
    <row r="317" spans="1:4" ht="28.8" x14ac:dyDescent="0.3">
      <c r="A317" s="1" t="s">
        <v>0</v>
      </c>
      <c r="B317" s="2" t="s">
        <v>1</v>
      </c>
      <c r="C317" s="2" t="s">
        <v>2</v>
      </c>
      <c r="D317" s="2" t="s">
        <v>3</v>
      </c>
    </row>
    <row r="318" spans="1:4" x14ac:dyDescent="0.3">
      <c r="A318" s="3" t="s">
        <v>4</v>
      </c>
      <c r="B318" s="1">
        <v>3534.54</v>
      </c>
      <c r="C318" s="1">
        <v>3139.44</v>
      </c>
      <c r="D318" s="1">
        <v>18200</v>
      </c>
    </row>
    <row r="319" spans="1:4" x14ac:dyDescent="0.3">
      <c r="A319" s="49" t="s">
        <v>14</v>
      </c>
      <c r="B319" s="50"/>
      <c r="C319" s="51"/>
      <c r="D319" s="1">
        <f>B318-D318</f>
        <v>-14665.46</v>
      </c>
    </row>
    <row r="320" spans="1:4" x14ac:dyDescent="0.3">
      <c r="A320" s="13"/>
      <c r="B320" s="13"/>
      <c r="C320" s="13"/>
      <c r="D320" s="14"/>
    </row>
    <row r="321" spans="1:4" ht="28.8" x14ac:dyDescent="0.3">
      <c r="A321" s="3" t="s">
        <v>37</v>
      </c>
      <c r="B321" s="3"/>
      <c r="C321" s="21" t="s">
        <v>41</v>
      </c>
      <c r="D321" s="3"/>
    </row>
    <row r="322" spans="1:4" x14ac:dyDescent="0.3">
      <c r="A322" s="3" t="s">
        <v>38</v>
      </c>
      <c r="B322" s="1"/>
      <c r="C322" s="1">
        <v>0</v>
      </c>
      <c r="D322" s="1"/>
    </row>
    <row r="323" spans="1:4" x14ac:dyDescent="0.3">
      <c r="A323" s="52" t="s">
        <v>39</v>
      </c>
      <c r="B323" s="51"/>
      <c r="C323" s="1">
        <v>2200</v>
      </c>
      <c r="D323" s="1"/>
    </row>
    <row r="324" spans="1:4" x14ac:dyDescent="0.3">
      <c r="A324" s="52"/>
      <c r="B324" s="51"/>
      <c r="C324" s="1">
        <v>0</v>
      </c>
      <c r="D324" s="1"/>
    </row>
    <row r="325" spans="1:4" x14ac:dyDescent="0.3">
      <c r="A325" s="3" t="s">
        <v>40</v>
      </c>
      <c r="B325" s="1"/>
      <c r="C325" s="1">
        <v>0</v>
      </c>
      <c r="D325" s="1"/>
    </row>
    <row r="326" spans="1:4" x14ac:dyDescent="0.3">
      <c r="A326" s="52" t="s">
        <v>73</v>
      </c>
      <c r="B326" s="51"/>
      <c r="C326" s="1">
        <v>11100</v>
      </c>
      <c r="D326" s="1"/>
    </row>
    <row r="327" spans="1:4" x14ac:dyDescent="0.3">
      <c r="A327" s="52" t="s">
        <v>74</v>
      </c>
      <c r="B327" s="51"/>
      <c r="C327" s="1">
        <v>2000</v>
      </c>
      <c r="D327" s="1"/>
    </row>
    <row r="328" spans="1:4" ht="14.4" customHeight="1" x14ac:dyDescent="0.3">
      <c r="A328" s="61" t="s">
        <v>47</v>
      </c>
      <c r="B328" s="51"/>
      <c r="C328" s="1">
        <v>0</v>
      </c>
      <c r="D328" s="1"/>
    </row>
    <row r="329" spans="1:4" x14ac:dyDescent="0.3">
      <c r="A329" s="52" t="s">
        <v>72</v>
      </c>
      <c r="B329" s="51"/>
      <c r="C329" s="1">
        <f>1600+1100</f>
        <v>2700</v>
      </c>
      <c r="D329" s="1"/>
    </row>
    <row r="330" spans="1:4" x14ac:dyDescent="0.3">
      <c r="A330" s="52" t="s">
        <v>59</v>
      </c>
      <c r="B330" s="51"/>
      <c r="C330" s="1">
        <v>200</v>
      </c>
      <c r="D330" s="1"/>
    </row>
    <row r="331" spans="1:4" x14ac:dyDescent="0.3">
      <c r="A331" s="59" t="s">
        <v>42</v>
      </c>
      <c r="B331" s="51"/>
      <c r="C331" s="3">
        <f>SUM(C322:C330)</f>
        <v>18200</v>
      </c>
      <c r="D331" s="1"/>
    </row>
    <row r="332" spans="1:4" x14ac:dyDescent="0.3">
      <c r="A332" s="14"/>
      <c r="B332" s="14"/>
      <c r="C332" s="14"/>
      <c r="D332" s="14"/>
    </row>
    <row r="333" spans="1:4" x14ac:dyDescent="0.3">
      <c r="A333" t="s">
        <v>11</v>
      </c>
    </row>
    <row r="335" spans="1:4" x14ac:dyDescent="0.3">
      <c r="A335" t="s">
        <v>12</v>
      </c>
      <c r="B335" t="s">
        <v>13</v>
      </c>
    </row>
    <row r="338" spans="1:4" ht="15.6" x14ac:dyDescent="0.3">
      <c r="B338" s="4" t="s">
        <v>5</v>
      </c>
      <c r="C338" s="4"/>
    </row>
    <row r="339" spans="1:4" ht="15.6" x14ac:dyDescent="0.3">
      <c r="B339" s="4" t="s">
        <v>6</v>
      </c>
      <c r="C339" s="4"/>
    </row>
    <row r="340" spans="1:4" x14ac:dyDescent="0.3">
      <c r="A340" s="5" t="s">
        <v>7</v>
      </c>
      <c r="B340" s="5"/>
      <c r="C340" s="5"/>
      <c r="D340" s="5"/>
    </row>
    <row r="341" spans="1:4" x14ac:dyDescent="0.3">
      <c r="A341" s="5"/>
      <c r="B341" s="5" t="s">
        <v>30</v>
      </c>
      <c r="C341" s="5"/>
      <c r="D341" s="5"/>
    </row>
    <row r="342" spans="1:4" x14ac:dyDescent="0.3">
      <c r="A342" t="s">
        <v>22</v>
      </c>
      <c r="B342" t="s">
        <v>25</v>
      </c>
      <c r="C342" s="6">
        <v>16</v>
      </c>
    </row>
    <row r="345" spans="1:4" ht="28.8" x14ac:dyDescent="0.3">
      <c r="A345" s="1" t="s">
        <v>0</v>
      </c>
      <c r="B345" s="2" t="s">
        <v>1</v>
      </c>
      <c r="C345" s="2" t="s">
        <v>2</v>
      </c>
      <c r="D345" s="2" t="s">
        <v>3</v>
      </c>
    </row>
    <row r="346" spans="1:4" x14ac:dyDescent="0.3">
      <c r="A346" s="3" t="s">
        <v>4</v>
      </c>
      <c r="B346" s="1">
        <v>35714.22</v>
      </c>
      <c r="C346" s="1">
        <v>34798.28</v>
      </c>
      <c r="D346" s="1">
        <v>3500</v>
      </c>
    </row>
    <row r="347" spans="1:4" x14ac:dyDescent="0.3">
      <c r="A347" s="49" t="s">
        <v>31</v>
      </c>
      <c r="B347" s="50"/>
      <c r="C347" s="51"/>
      <c r="D347" s="1">
        <f>B346-D346</f>
        <v>32214.22</v>
      </c>
    </row>
    <row r="348" spans="1:4" x14ac:dyDescent="0.3">
      <c r="A348" s="13"/>
      <c r="B348" s="13"/>
      <c r="C348" s="13"/>
      <c r="D348" s="14"/>
    </row>
    <row r="349" spans="1:4" ht="28.8" x14ac:dyDescent="0.3">
      <c r="A349" s="3" t="s">
        <v>37</v>
      </c>
      <c r="B349" s="3"/>
      <c r="C349" s="21" t="s">
        <v>41</v>
      </c>
      <c r="D349" s="3"/>
    </row>
    <row r="350" spans="1:4" x14ac:dyDescent="0.3">
      <c r="A350" s="3" t="s">
        <v>38</v>
      </c>
      <c r="B350" s="1"/>
      <c r="C350" s="1">
        <v>0</v>
      </c>
      <c r="D350" s="1"/>
    </row>
    <row r="351" spans="1:4" x14ac:dyDescent="0.3">
      <c r="A351" s="52" t="s">
        <v>39</v>
      </c>
      <c r="B351" s="51"/>
      <c r="C351" s="1">
        <v>700</v>
      </c>
      <c r="D351" s="1"/>
    </row>
    <row r="352" spans="1:4" x14ac:dyDescent="0.3">
      <c r="A352" s="52"/>
      <c r="B352" s="51"/>
      <c r="C352" s="1">
        <v>0</v>
      </c>
      <c r="D352" s="1"/>
    </row>
    <row r="353" spans="1:4" x14ac:dyDescent="0.3">
      <c r="A353" s="3" t="s">
        <v>40</v>
      </c>
      <c r="B353" s="1"/>
      <c r="C353" s="1">
        <v>0</v>
      </c>
      <c r="D353" s="1"/>
    </row>
    <row r="354" spans="1:4" x14ac:dyDescent="0.3">
      <c r="A354" s="52" t="s">
        <v>63</v>
      </c>
      <c r="B354" s="51"/>
      <c r="C354" s="1">
        <v>2500</v>
      </c>
      <c r="D354" s="1"/>
    </row>
    <row r="355" spans="1:4" x14ac:dyDescent="0.3">
      <c r="A355" s="52"/>
      <c r="B355" s="51"/>
      <c r="C355" s="1">
        <v>0</v>
      </c>
      <c r="D355" s="1"/>
    </row>
    <row r="356" spans="1:4" ht="14.4" customHeight="1" x14ac:dyDescent="0.3">
      <c r="A356" s="61" t="s">
        <v>47</v>
      </c>
      <c r="B356" s="51"/>
      <c r="C356" s="1">
        <v>0</v>
      </c>
      <c r="D356" s="1"/>
    </row>
    <row r="357" spans="1:4" x14ac:dyDescent="0.3">
      <c r="A357" s="52"/>
      <c r="B357" s="51"/>
      <c r="C357" s="1">
        <v>0</v>
      </c>
      <c r="D357" s="1"/>
    </row>
    <row r="358" spans="1:4" x14ac:dyDescent="0.3">
      <c r="A358" s="56" t="s">
        <v>52</v>
      </c>
      <c r="B358" s="57"/>
      <c r="C358" s="1"/>
      <c r="D358" s="1"/>
    </row>
    <row r="359" spans="1:4" x14ac:dyDescent="0.3">
      <c r="A359" s="52" t="s">
        <v>53</v>
      </c>
      <c r="B359" s="51"/>
      <c r="C359" s="1">
        <v>300</v>
      </c>
      <c r="D359" s="1"/>
    </row>
    <row r="360" spans="1:4" x14ac:dyDescent="0.3">
      <c r="A360" s="52"/>
      <c r="B360" s="51"/>
      <c r="C360" s="1">
        <v>0</v>
      </c>
      <c r="D360" s="1"/>
    </row>
    <row r="361" spans="1:4" x14ac:dyDescent="0.3">
      <c r="A361" s="59" t="s">
        <v>42</v>
      </c>
      <c r="B361" s="51"/>
      <c r="C361" s="3">
        <f>SUM(C350:C360)</f>
        <v>3500</v>
      </c>
      <c r="D361" s="1"/>
    </row>
    <row r="362" spans="1:4" x14ac:dyDescent="0.3">
      <c r="A362" s="14"/>
      <c r="B362" s="14"/>
      <c r="C362" s="14"/>
      <c r="D362" s="14"/>
    </row>
    <row r="363" spans="1:4" x14ac:dyDescent="0.3">
      <c r="A363" t="s">
        <v>11</v>
      </c>
    </row>
    <row r="365" spans="1:4" x14ac:dyDescent="0.3">
      <c r="A365" t="s">
        <v>12</v>
      </c>
      <c r="B365" t="s">
        <v>13</v>
      </c>
    </row>
    <row r="368" spans="1:4" ht="15.6" x14ac:dyDescent="0.3">
      <c r="B368" s="4" t="s">
        <v>5</v>
      </c>
      <c r="C368" s="4"/>
    </row>
    <row r="369" spans="1:4" ht="15.6" x14ac:dyDescent="0.3">
      <c r="B369" s="4" t="s">
        <v>6</v>
      </c>
      <c r="C369" s="4"/>
    </row>
    <row r="370" spans="1:4" x14ac:dyDescent="0.3">
      <c r="A370" s="5" t="s">
        <v>7</v>
      </c>
      <c r="B370" s="5"/>
      <c r="C370" s="5"/>
      <c r="D370" s="5"/>
    </row>
    <row r="371" spans="1:4" x14ac:dyDescent="0.3">
      <c r="A371" s="5"/>
      <c r="B371" s="5" t="s">
        <v>30</v>
      </c>
      <c r="C371" s="5"/>
      <c r="D371" s="5"/>
    </row>
    <row r="372" spans="1:4" x14ac:dyDescent="0.3">
      <c r="A372" t="s">
        <v>22</v>
      </c>
      <c r="B372" t="s">
        <v>25</v>
      </c>
      <c r="C372" s="6">
        <v>18</v>
      </c>
    </row>
    <row r="375" spans="1:4" ht="28.8" x14ac:dyDescent="0.3">
      <c r="A375" s="1" t="s">
        <v>0</v>
      </c>
      <c r="B375" s="2" t="s">
        <v>1</v>
      </c>
      <c r="C375" s="2" t="s">
        <v>2</v>
      </c>
      <c r="D375" s="2" t="s">
        <v>3</v>
      </c>
    </row>
    <row r="376" spans="1:4" x14ac:dyDescent="0.3">
      <c r="A376" s="3" t="s">
        <v>4</v>
      </c>
      <c r="B376" s="1">
        <v>19413.240000000002</v>
      </c>
      <c r="C376" s="1">
        <v>12457.14</v>
      </c>
      <c r="D376" s="1">
        <v>3300</v>
      </c>
    </row>
    <row r="377" spans="1:4" x14ac:dyDescent="0.3">
      <c r="A377" s="49" t="s">
        <v>31</v>
      </c>
      <c r="B377" s="50"/>
      <c r="C377" s="51"/>
      <c r="D377" s="1">
        <f>B376-D376</f>
        <v>16113.240000000002</v>
      </c>
    </row>
    <row r="378" spans="1:4" x14ac:dyDescent="0.3">
      <c r="A378" s="13"/>
      <c r="B378" s="13"/>
      <c r="C378" s="13"/>
      <c r="D378" s="14"/>
    </row>
    <row r="379" spans="1:4" ht="28.8" x14ac:dyDescent="0.3">
      <c r="A379" s="3" t="s">
        <v>37</v>
      </c>
      <c r="B379" s="3"/>
      <c r="C379" s="21" t="s">
        <v>41</v>
      </c>
      <c r="D379" s="3"/>
    </row>
    <row r="380" spans="1:4" x14ac:dyDescent="0.3">
      <c r="A380" s="3" t="s">
        <v>38</v>
      </c>
      <c r="B380" s="1"/>
      <c r="C380" s="1">
        <v>0</v>
      </c>
      <c r="D380" s="1"/>
    </row>
    <row r="381" spans="1:4" x14ac:dyDescent="0.3">
      <c r="A381" s="52" t="s">
        <v>39</v>
      </c>
      <c r="B381" s="51"/>
      <c r="C381" s="1">
        <v>2600</v>
      </c>
      <c r="D381" s="1"/>
    </row>
    <row r="382" spans="1:4" x14ac:dyDescent="0.3">
      <c r="A382" s="52"/>
      <c r="B382" s="51"/>
      <c r="C382" s="1">
        <v>0</v>
      </c>
      <c r="D382" s="1"/>
    </row>
    <row r="383" spans="1:4" x14ac:dyDescent="0.3">
      <c r="A383" s="3" t="s">
        <v>40</v>
      </c>
      <c r="B383" s="1"/>
      <c r="C383" s="1">
        <v>0</v>
      </c>
      <c r="D383" s="1"/>
    </row>
    <row r="384" spans="1:4" x14ac:dyDescent="0.3">
      <c r="A384" s="52" t="s">
        <v>56</v>
      </c>
      <c r="B384" s="51"/>
      <c r="C384" s="1">
        <v>100</v>
      </c>
      <c r="D384" s="1"/>
    </row>
    <row r="385" spans="1:4" x14ac:dyDescent="0.3">
      <c r="A385" s="52"/>
      <c r="B385" s="51"/>
      <c r="C385" s="1">
        <v>0</v>
      </c>
      <c r="D385" s="1"/>
    </row>
    <row r="386" spans="1:4" ht="14.4" customHeight="1" x14ac:dyDescent="0.3">
      <c r="A386" s="61" t="s">
        <v>47</v>
      </c>
      <c r="B386" s="51"/>
      <c r="C386" s="1">
        <v>0</v>
      </c>
      <c r="D386" s="1"/>
    </row>
    <row r="387" spans="1:4" x14ac:dyDescent="0.3">
      <c r="A387" s="52"/>
      <c r="B387" s="51"/>
      <c r="C387" s="1">
        <v>0</v>
      </c>
      <c r="D387" s="1"/>
    </row>
    <row r="388" spans="1:4" ht="14.4" customHeight="1" x14ac:dyDescent="0.3">
      <c r="A388" s="56" t="s">
        <v>52</v>
      </c>
      <c r="B388" s="57"/>
      <c r="C388" s="1"/>
      <c r="D388" s="1"/>
    </row>
    <row r="389" spans="1:4" ht="14.4" customHeight="1" x14ac:dyDescent="0.3">
      <c r="A389" s="52" t="s">
        <v>53</v>
      </c>
      <c r="B389" s="51"/>
      <c r="C389" s="1">
        <v>600</v>
      </c>
      <c r="D389" s="1"/>
    </row>
    <row r="390" spans="1:4" x14ac:dyDescent="0.3">
      <c r="A390" s="52"/>
      <c r="B390" s="51"/>
      <c r="C390" s="1">
        <v>0</v>
      </c>
      <c r="D390" s="1"/>
    </row>
    <row r="391" spans="1:4" x14ac:dyDescent="0.3">
      <c r="A391" s="59" t="s">
        <v>42</v>
      </c>
      <c r="B391" s="51"/>
      <c r="C391" s="3">
        <f>SUM(C380:C390)</f>
        <v>3300</v>
      </c>
      <c r="D391" s="1"/>
    </row>
    <row r="392" spans="1:4" x14ac:dyDescent="0.3">
      <c r="A392" s="14"/>
      <c r="B392" s="14"/>
      <c r="C392" s="14"/>
      <c r="D392" s="14"/>
    </row>
    <row r="393" spans="1:4" x14ac:dyDescent="0.3">
      <c r="A393" t="s">
        <v>11</v>
      </c>
    </row>
    <row r="395" spans="1:4" x14ac:dyDescent="0.3">
      <c r="A395" t="s">
        <v>12</v>
      </c>
      <c r="B395" t="s">
        <v>13</v>
      </c>
    </row>
    <row r="400" spans="1:4" ht="15.6" x14ac:dyDescent="0.3">
      <c r="B400" s="4" t="s">
        <v>5</v>
      </c>
      <c r="C400" s="4"/>
    </row>
    <row r="401" spans="1:4" ht="15.6" x14ac:dyDescent="0.3">
      <c r="B401" s="4" t="s">
        <v>6</v>
      </c>
      <c r="C401" s="4"/>
    </row>
    <row r="402" spans="1:4" x14ac:dyDescent="0.3">
      <c r="A402" s="5" t="s">
        <v>7</v>
      </c>
      <c r="B402" s="5"/>
      <c r="C402" s="5"/>
      <c r="D402" s="5"/>
    </row>
    <row r="403" spans="1:4" x14ac:dyDescent="0.3">
      <c r="A403" s="5"/>
      <c r="B403" s="5" t="s">
        <v>30</v>
      </c>
      <c r="C403" s="5"/>
      <c r="D403" s="5"/>
    </row>
    <row r="404" spans="1:4" x14ac:dyDescent="0.3">
      <c r="A404" t="s">
        <v>22</v>
      </c>
      <c r="B404" t="s">
        <v>25</v>
      </c>
      <c r="C404" s="6" t="s">
        <v>27</v>
      </c>
    </row>
    <row r="407" spans="1:4" ht="28.8" x14ac:dyDescent="0.3">
      <c r="A407" s="1" t="s">
        <v>0</v>
      </c>
      <c r="B407" s="2" t="s">
        <v>1</v>
      </c>
      <c r="C407" s="2" t="s">
        <v>2</v>
      </c>
      <c r="D407" s="2" t="s">
        <v>3</v>
      </c>
    </row>
    <row r="408" spans="1:4" x14ac:dyDescent="0.3">
      <c r="A408" s="3" t="s">
        <v>4</v>
      </c>
      <c r="B408" s="1">
        <v>66802.679999999993</v>
      </c>
      <c r="C408" s="1">
        <v>60330.71</v>
      </c>
      <c r="D408" s="1">
        <v>7900</v>
      </c>
    </row>
    <row r="409" spans="1:4" x14ac:dyDescent="0.3">
      <c r="A409" s="49" t="s">
        <v>10</v>
      </c>
      <c r="B409" s="50"/>
      <c r="C409" s="51"/>
      <c r="D409" s="1">
        <f>B408-D408</f>
        <v>58902.679999999993</v>
      </c>
    </row>
    <row r="410" spans="1:4" x14ac:dyDescent="0.3">
      <c r="A410" s="13"/>
      <c r="B410" s="13"/>
      <c r="C410" s="13"/>
      <c r="D410" s="14"/>
    </row>
    <row r="411" spans="1:4" ht="28.8" x14ac:dyDescent="0.3">
      <c r="A411" s="3" t="s">
        <v>37</v>
      </c>
      <c r="B411" s="3"/>
      <c r="C411" s="21" t="s">
        <v>41</v>
      </c>
      <c r="D411" s="3"/>
    </row>
    <row r="412" spans="1:4" x14ac:dyDescent="0.3">
      <c r="A412" s="3" t="s">
        <v>38</v>
      </c>
      <c r="B412" s="1"/>
      <c r="C412" s="1">
        <v>0</v>
      </c>
      <c r="D412" s="1"/>
    </row>
    <row r="413" spans="1:4" x14ac:dyDescent="0.3">
      <c r="A413" s="52" t="s">
        <v>39</v>
      </c>
      <c r="B413" s="51"/>
      <c r="C413" s="1">
        <f>2600+4500</f>
        <v>7100</v>
      </c>
      <c r="D413" s="1"/>
    </row>
    <row r="414" spans="1:4" x14ac:dyDescent="0.3">
      <c r="A414" s="52"/>
      <c r="B414" s="51"/>
      <c r="C414" s="1">
        <v>0</v>
      </c>
      <c r="D414" s="1"/>
    </row>
    <row r="415" spans="1:4" x14ac:dyDescent="0.3">
      <c r="A415" s="3" t="s">
        <v>40</v>
      </c>
      <c r="B415" s="1"/>
      <c r="C415" s="1">
        <v>0</v>
      </c>
      <c r="D415" s="1"/>
    </row>
    <row r="416" spans="1:4" x14ac:dyDescent="0.3">
      <c r="A416" s="52" t="s">
        <v>56</v>
      </c>
      <c r="B416" s="51"/>
      <c r="C416" s="1">
        <v>100</v>
      </c>
      <c r="D416" s="1"/>
    </row>
    <row r="417" spans="1:4" x14ac:dyDescent="0.3">
      <c r="A417" s="52"/>
      <c r="B417" s="51"/>
      <c r="C417" s="1">
        <v>0</v>
      </c>
      <c r="D417" s="1"/>
    </row>
    <row r="418" spans="1:4" ht="14.4" customHeight="1" x14ac:dyDescent="0.3">
      <c r="A418" s="61" t="s">
        <v>47</v>
      </c>
      <c r="B418" s="51"/>
      <c r="C418" s="1">
        <v>0</v>
      </c>
      <c r="D418" s="1"/>
    </row>
    <row r="419" spans="1:4" x14ac:dyDescent="0.3">
      <c r="A419" s="52" t="s">
        <v>59</v>
      </c>
      <c r="B419" s="51"/>
      <c r="C419" s="1">
        <v>100</v>
      </c>
      <c r="D419" s="1"/>
    </row>
    <row r="420" spans="1:4" ht="14.4" customHeight="1" x14ac:dyDescent="0.3">
      <c r="A420" s="56" t="s">
        <v>52</v>
      </c>
      <c r="B420" s="57"/>
      <c r="C420" s="1"/>
      <c r="D420" s="1"/>
    </row>
    <row r="421" spans="1:4" ht="14.4" customHeight="1" x14ac:dyDescent="0.3">
      <c r="A421" s="52" t="s">
        <v>53</v>
      </c>
      <c r="B421" s="51"/>
      <c r="C421" s="1">
        <v>600</v>
      </c>
      <c r="D421" s="1"/>
    </row>
    <row r="422" spans="1:4" x14ac:dyDescent="0.3">
      <c r="A422" s="52"/>
      <c r="B422" s="51"/>
      <c r="C422" s="1">
        <v>0</v>
      </c>
      <c r="D422" s="1"/>
    </row>
    <row r="423" spans="1:4" x14ac:dyDescent="0.3">
      <c r="A423" s="59" t="s">
        <v>42</v>
      </c>
      <c r="B423" s="51"/>
      <c r="C423" s="3">
        <f>SUM(C412:C422)</f>
        <v>7900</v>
      </c>
      <c r="D423" s="1"/>
    </row>
    <row r="424" spans="1:4" x14ac:dyDescent="0.3">
      <c r="A424" s="14"/>
      <c r="B424" s="14"/>
      <c r="C424" s="14"/>
      <c r="D424" s="14"/>
    </row>
    <row r="425" spans="1:4" x14ac:dyDescent="0.3">
      <c r="A425" t="s">
        <v>11</v>
      </c>
    </row>
    <row r="427" spans="1:4" x14ac:dyDescent="0.3">
      <c r="A427" t="s">
        <v>12</v>
      </c>
      <c r="B427" t="s">
        <v>13</v>
      </c>
    </row>
    <row r="431" spans="1:4" ht="15.6" x14ac:dyDescent="0.3">
      <c r="B431" s="4" t="s">
        <v>5</v>
      </c>
      <c r="C431" s="4"/>
    </row>
    <row r="432" spans="1:4" ht="15.6" x14ac:dyDescent="0.3">
      <c r="B432" s="4" t="s">
        <v>6</v>
      </c>
      <c r="C432" s="4"/>
    </row>
    <row r="433" spans="1:4" x14ac:dyDescent="0.3">
      <c r="A433" s="5" t="s">
        <v>7</v>
      </c>
      <c r="B433" s="5"/>
      <c r="C433" s="5"/>
      <c r="D433" s="5"/>
    </row>
    <row r="434" spans="1:4" x14ac:dyDescent="0.3">
      <c r="A434" s="5"/>
      <c r="B434" s="5" t="s">
        <v>30</v>
      </c>
      <c r="C434" s="5"/>
      <c r="D434" s="5"/>
    </row>
    <row r="435" spans="1:4" x14ac:dyDescent="0.3">
      <c r="A435" t="s">
        <v>22</v>
      </c>
      <c r="B435" t="s">
        <v>25</v>
      </c>
      <c r="C435" s="6">
        <v>20</v>
      </c>
    </row>
    <row r="438" spans="1:4" ht="28.8" x14ac:dyDescent="0.3">
      <c r="A438" s="1" t="s">
        <v>0</v>
      </c>
      <c r="B438" s="2" t="s">
        <v>1</v>
      </c>
      <c r="C438" s="2" t="s">
        <v>2</v>
      </c>
      <c r="D438" s="2" t="s">
        <v>3</v>
      </c>
    </row>
    <row r="439" spans="1:4" x14ac:dyDescent="0.3">
      <c r="A439" s="3" t="s">
        <v>4</v>
      </c>
      <c r="B439" s="1">
        <v>28139.22</v>
      </c>
      <c r="C439" s="1">
        <v>25235.29</v>
      </c>
      <c r="D439" s="1">
        <v>53300</v>
      </c>
    </row>
    <row r="440" spans="1:4" x14ac:dyDescent="0.3">
      <c r="A440" s="49" t="s">
        <v>32</v>
      </c>
      <c r="B440" s="50"/>
      <c r="C440" s="51"/>
      <c r="D440" s="1">
        <f>B439-D439</f>
        <v>-25160.78</v>
      </c>
    </row>
    <row r="441" spans="1:4" x14ac:dyDescent="0.3">
      <c r="A441" s="13"/>
      <c r="B441" s="13"/>
      <c r="C441" s="13"/>
      <c r="D441" s="14"/>
    </row>
    <row r="442" spans="1:4" ht="28.8" x14ac:dyDescent="0.3">
      <c r="A442" s="3" t="s">
        <v>37</v>
      </c>
      <c r="B442" s="3"/>
      <c r="C442" s="21" t="s">
        <v>41</v>
      </c>
      <c r="D442" s="3"/>
    </row>
    <row r="443" spans="1:4" x14ac:dyDescent="0.3">
      <c r="A443" s="3" t="s">
        <v>38</v>
      </c>
      <c r="B443" s="1"/>
      <c r="C443" s="1">
        <v>0</v>
      </c>
      <c r="D443" s="1"/>
    </row>
    <row r="444" spans="1:4" x14ac:dyDescent="0.3">
      <c r="A444" s="52" t="s">
        <v>75</v>
      </c>
      <c r="B444" s="51"/>
      <c r="C444" s="1">
        <v>49800</v>
      </c>
      <c r="D444" s="1"/>
    </row>
    <row r="445" spans="1:4" x14ac:dyDescent="0.3">
      <c r="A445" s="52"/>
      <c r="B445" s="51"/>
      <c r="C445" s="1">
        <v>0</v>
      </c>
      <c r="D445" s="1"/>
    </row>
    <row r="446" spans="1:4" x14ac:dyDescent="0.3">
      <c r="A446" s="3" t="s">
        <v>40</v>
      </c>
      <c r="B446" s="1"/>
      <c r="C446" s="1">
        <v>0</v>
      </c>
      <c r="D446" s="1"/>
    </row>
    <row r="447" spans="1:4" x14ac:dyDescent="0.3">
      <c r="A447" s="52" t="s">
        <v>63</v>
      </c>
      <c r="B447" s="51"/>
      <c r="C447" s="1">
        <v>3500</v>
      </c>
      <c r="D447" s="1"/>
    </row>
    <row r="448" spans="1:4" x14ac:dyDescent="0.3">
      <c r="A448" s="52"/>
      <c r="B448" s="51"/>
      <c r="C448" s="1">
        <v>0</v>
      </c>
      <c r="D448" s="1"/>
    </row>
    <row r="449" spans="1:4" ht="14.4" customHeight="1" x14ac:dyDescent="0.3">
      <c r="A449" s="61" t="s">
        <v>47</v>
      </c>
      <c r="B449" s="51"/>
      <c r="C449" s="1">
        <v>0</v>
      </c>
      <c r="D449" s="1"/>
    </row>
    <row r="450" spans="1:4" x14ac:dyDescent="0.3">
      <c r="A450" s="52"/>
      <c r="B450" s="51"/>
      <c r="C450" s="1">
        <v>0</v>
      </c>
      <c r="D450" s="1"/>
    </row>
    <row r="451" spans="1:4" x14ac:dyDescent="0.3">
      <c r="A451" s="52"/>
      <c r="B451" s="51"/>
      <c r="C451" s="1">
        <v>0</v>
      </c>
      <c r="D451" s="1"/>
    </row>
    <row r="452" spans="1:4" x14ac:dyDescent="0.3">
      <c r="A452" s="59" t="s">
        <v>42</v>
      </c>
      <c r="B452" s="51"/>
      <c r="C452" s="3">
        <f>SUM(C443:C451)</f>
        <v>53300</v>
      </c>
      <c r="D452" s="1"/>
    </row>
    <row r="453" spans="1:4" x14ac:dyDescent="0.3">
      <c r="A453" s="14"/>
      <c r="B453" s="14"/>
      <c r="C453" s="14"/>
      <c r="D453" s="14"/>
    </row>
    <row r="454" spans="1:4" x14ac:dyDescent="0.3">
      <c r="A454" t="s">
        <v>11</v>
      </c>
    </row>
    <row r="456" spans="1:4" x14ac:dyDescent="0.3">
      <c r="A456" t="s">
        <v>12</v>
      </c>
      <c r="B456" t="s">
        <v>13</v>
      </c>
    </row>
    <row r="458" spans="1:4" ht="15.6" x14ac:dyDescent="0.3">
      <c r="B458" s="4" t="s">
        <v>5</v>
      </c>
      <c r="C458" s="4"/>
    </row>
    <row r="459" spans="1:4" ht="15.6" x14ac:dyDescent="0.3">
      <c r="B459" s="4" t="s">
        <v>6</v>
      </c>
      <c r="C459" s="4"/>
    </row>
    <row r="460" spans="1:4" x14ac:dyDescent="0.3">
      <c r="A460" s="5" t="s">
        <v>7</v>
      </c>
      <c r="B460" s="5"/>
      <c r="C460" s="5"/>
      <c r="D460" s="5"/>
    </row>
    <row r="461" spans="1:4" x14ac:dyDescent="0.3">
      <c r="A461" s="5"/>
      <c r="B461" s="5" t="s">
        <v>30</v>
      </c>
      <c r="C461" s="5"/>
      <c r="D461" s="5"/>
    </row>
    <row r="462" spans="1:4" x14ac:dyDescent="0.3">
      <c r="A462" t="s">
        <v>22</v>
      </c>
      <c r="B462" t="s">
        <v>25</v>
      </c>
      <c r="C462" s="6">
        <v>22</v>
      </c>
    </row>
    <row r="465" spans="1:4" ht="28.8" x14ac:dyDescent="0.3">
      <c r="A465" s="1" t="s">
        <v>0</v>
      </c>
      <c r="B465" s="2" t="s">
        <v>1</v>
      </c>
      <c r="C465" s="2" t="s">
        <v>2</v>
      </c>
      <c r="D465" s="2" t="s">
        <v>3</v>
      </c>
    </row>
    <row r="466" spans="1:4" x14ac:dyDescent="0.3">
      <c r="A466" s="3" t="s">
        <v>4</v>
      </c>
      <c r="B466" s="1">
        <v>19117.8</v>
      </c>
      <c r="C466" s="1">
        <v>18646.39</v>
      </c>
      <c r="D466" s="1">
        <v>10700</v>
      </c>
    </row>
    <row r="467" spans="1:4" x14ac:dyDescent="0.3">
      <c r="A467" s="49" t="s">
        <v>10</v>
      </c>
      <c r="B467" s="50"/>
      <c r="C467" s="51"/>
      <c r="D467" s="1">
        <f>B466-D466</f>
        <v>8417.7999999999993</v>
      </c>
    </row>
    <row r="468" spans="1:4" x14ac:dyDescent="0.3">
      <c r="A468" s="13"/>
      <c r="B468" s="13"/>
      <c r="C468" s="13"/>
      <c r="D468" s="14"/>
    </row>
    <row r="469" spans="1:4" ht="28.8" x14ac:dyDescent="0.3">
      <c r="A469" s="3" t="s">
        <v>37</v>
      </c>
      <c r="B469" s="3"/>
      <c r="C469" s="21" t="s">
        <v>41</v>
      </c>
      <c r="D469" s="3"/>
    </row>
    <row r="470" spans="1:4" x14ac:dyDescent="0.3">
      <c r="A470" s="3" t="s">
        <v>38</v>
      </c>
      <c r="B470" s="1"/>
      <c r="C470" s="1">
        <v>0</v>
      </c>
      <c r="D470" s="1"/>
    </row>
    <row r="471" spans="1:4" x14ac:dyDescent="0.3">
      <c r="A471" s="52"/>
      <c r="B471" s="51"/>
      <c r="C471" s="1">
        <v>0</v>
      </c>
      <c r="D471" s="1"/>
    </row>
    <row r="472" spans="1:4" x14ac:dyDescent="0.3">
      <c r="A472" s="52"/>
      <c r="B472" s="51"/>
      <c r="C472" s="1">
        <v>0</v>
      </c>
      <c r="D472" s="1"/>
    </row>
    <row r="473" spans="1:4" x14ac:dyDescent="0.3">
      <c r="A473" s="3" t="s">
        <v>40</v>
      </c>
      <c r="B473" s="1"/>
      <c r="C473" s="1">
        <v>0</v>
      </c>
      <c r="D473" s="1"/>
    </row>
    <row r="474" spans="1:4" x14ac:dyDescent="0.3">
      <c r="A474" s="52" t="s">
        <v>63</v>
      </c>
      <c r="B474" s="51"/>
      <c r="C474" s="1">
        <f>1800+8900</f>
        <v>10700</v>
      </c>
      <c r="D474" s="1"/>
    </row>
    <row r="475" spans="1:4" x14ac:dyDescent="0.3">
      <c r="A475" s="52"/>
      <c r="B475" s="51"/>
      <c r="C475" s="1">
        <v>0</v>
      </c>
      <c r="D475" s="1"/>
    </row>
    <row r="476" spans="1:4" ht="14.4" customHeight="1" x14ac:dyDescent="0.3">
      <c r="A476" s="61" t="s">
        <v>47</v>
      </c>
      <c r="B476" s="51"/>
      <c r="C476" s="1">
        <v>0</v>
      </c>
      <c r="D476" s="1"/>
    </row>
    <row r="477" spans="1:4" x14ac:dyDescent="0.3">
      <c r="A477" s="52"/>
      <c r="B477" s="51"/>
      <c r="C477" s="1"/>
      <c r="D477" s="1"/>
    </row>
    <row r="478" spans="1:4" x14ac:dyDescent="0.3">
      <c r="A478" s="56" t="s">
        <v>52</v>
      </c>
      <c r="B478" s="57"/>
      <c r="C478" s="1"/>
      <c r="D478" s="1"/>
    </row>
    <row r="479" spans="1:4" x14ac:dyDescent="0.3">
      <c r="A479" s="52"/>
      <c r="B479" s="51"/>
      <c r="C479" s="1"/>
      <c r="D479" s="1"/>
    </row>
    <row r="480" spans="1:4" x14ac:dyDescent="0.3">
      <c r="A480" s="52"/>
      <c r="B480" s="51"/>
      <c r="C480" s="1">
        <v>0</v>
      </c>
      <c r="D480" s="1"/>
    </row>
    <row r="481" spans="1:4" x14ac:dyDescent="0.3">
      <c r="A481" s="59" t="s">
        <v>42</v>
      </c>
      <c r="B481" s="51"/>
      <c r="C481" s="3">
        <f>SUM(C470:C480)</f>
        <v>10700</v>
      </c>
      <c r="D481" s="1"/>
    </row>
    <row r="482" spans="1:4" x14ac:dyDescent="0.3">
      <c r="A482" s="14"/>
      <c r="B482" s="14"/>
      <c r="C482" s="14"/>
      <c r="D482" s="14"/>
    </row>
    <row r="483" spans="1:4" x14ac:dyDescent="0.3">
      <c r="A483" t="s">
        <v>11</v>
      </c>
    </row>
    <row r="485" spans="1:4" x14ac:dyDescent="0.3">
      <c r="A485" t="s">
        <v>12</v>
      </c>
      <c r="B485" t="s">
        <v>13</v>
      </c>
    </row>
    <row r="490" spans="1:4" ht="15.6" x14ac:dyDescent="0.3">
      <c r="B490" s="4" t="s">
        <v>5</v>
      </c>
      <c r="C490" s="4"/>
    </row>
    <row r="491" spans="1:4" ht="15.6" x14ac:dyDescent="0.3">
      <c r="B491" s="4" t="s">
        <v>6</v>
      </c>
      <c r="C491" s="4"/>
    </row>
    <row r="492" spans="1:4" x14ac:dyDescent="0.3">
      <c r="A492" s="5" t="s">
        <v>7</v>
      </c>
      <c r="B492" s="5"/>
      <c r="C492" s="5"/>
      <c r="D492" s="5"/>
    </row>
    <row r="493" spans="1:4" x14ac:dyDescent="0.3">
      <c r="A493" s="5"/>
      <c r="B493" s="5" t="s">
        <v>30</v>
      </c>
      <c r="C493" s="5"/>
      <c r="D493" s="5"/>
    </row>
    <row r="494" spans="1:4" x14ac:dyDescent="0.3">
      <c r="A494" t="s">
        <v>22</v>
      </c>
      <c r="B494" t="s">
        <v>25</v>
      </c>
      <c r="C494" s="6">
        <v>23</v>
      </c>
    </row>
    <row r="497" spans="1:4" ht="28.8" x14ac:dyDescent="0.3">
      <c r="A497" s="1" t="s">
        <v>0</v>
      </c>
      <c r="B497" s="2" t="s">
        <v>1</v>
      </c>
      <c r="C497" s="2" t="s">
        <v>2</v>
      </c>
      <c r="D497" s="2" t="s">
        <v>3</v>
      </c>
    </row>
    <row r="498" spans="1:4" x14ac:dyDescent="0.3">
      <c r="A498" s="3" t="s">
        <v>4</v>
      </c>
      <c r="B498" s="1">
        <v>24919.919999999998</v>
      </c>
      <c r="C498" s="1">
        <v>23008.9</v>
      </c>
      <c r="D498" s="1">
        <v>400</v>
      </c>
    </row>
    <row r="499" spans="1:4" x14ac:dyDescent="0.3">
      <c r="A499" s="49" t="s">
        <v>10</v>
      </c>
      <c r="B499" s="50"/>
      <c r="C499" s="51"/>
      <c r="D499" s="1">
        <f>B498-D498</f>
        <v>24519.919999999998</v>
      </c>
    </row>
    <row r="500" spans="1:4" x14ac:dyDescent="0.3">
      <c r="A500" s="13"/>
      <c r="B500" s="13"/>
      <c r="C500" s="13"/>
      <c r="D500" s="14"/>
    </row>
    <row r="501" spans="1:4" ht="28.8" x14ac:dyDescent="0.3">
      <c r="A501" s="3" t="s">
        <v>37</v>
      </c>
      <c r="B501" s="3"/>
      <c r="C501" s="21" t="s">
        <v>41</v>
      </c>
      <c r="D501" s="3"/>
    </row>
    <row r="502" spans="1:4" x14ac:dyDescent="0.3">
      <c r="A502" s="3" t="s">
        <v>38</v>
      </c>
      <c r="B502" s="1"/>
      <c r="C502" s="1">
        <v>0</v>
      </c>
      <c r="D502" s="1"/>
    </row>
    <row r="503" spans="1:4" x14ac:dyDescent="0.3">
      <c r="A503" s="52"/>
      <c r="B503" s="51"/>
      <c r="C503" s="1">
        <v>0</v>
      </c>
      <c r="D503" s="1"/>
    </row>
    <row r="504" spans="1:4" x14ac:dyDescent="0.3">
      <c r="A504" s="52"/>
      <c r="B504" s="51"/>
      <c r="C504" s="1">
        <v>0</v>
      </c>
      <c r="D504" s="1"/>
    </row>
    <row r="505" spans="1:4" x14ac:dyDescent="0.3">
      <c r="A505" s="3" t="s">
        <v>40</v>
      </c>
      <c r="B505" s="1"/>
      <c r="C505" s="1">
        <v>0</v>
      </c>
      <c r="D505" s="1"/>
    </row>
    <row r="506" spans="1:4" x14ac:dyDescent="0.3">
      <c r="A506" s="52"/>
      <c r="B506" s="51"/>
      <c r="C506" s="1">
        <v>0</v>
      </c>
      <c r="D506" s="1"/>
    </row>
    <row r="507" spans="1:4" x14ac:dyDescent="0.3">
      <c r="A507" s="52"/>
      <c r="B507" s="51"/>
      <c r="C507" s="1">
        <v>0</v>
      </c>
      <c r="D507" s="1"/>
    </row>
    <row r="508" spans="1:4" ht="14.4" customHeight="1" x14ac:dyDescent="0.3">
      <c r="A508" s="61" t="s">
        <v>47</v>
      </c>
      <c r="B508" s="51"/>
      <c r="C508" s="1">
        <v>0</v>
      </c>
      <c r="D508" s="1"/>
    </row>
    <row r="509" spans="1:4" x14ac:dyDescent="0.3">
      <c r="A509" s="52" t="s">
        <v>64</v>
      </c>
      <c r="B509" s="51"/>
      <c r="C509" s="1">
        <v>300</v>
      </c>
      <c r="D509" s="1"/>
    </row>
    <row r="510" spans="1:4" x14ac:dyDescent="0.3">
      <c r="A510" s="56" t="s">
        <v>52</v>
      </c>
      <c r="B510" s="57"/>
      <c r="C510" s="1"/>
      <c r="D510" s="1"/>
    </row>
    <row r="511" spans="1:4" x14ac:dyDescent="0.3">
      <c r="A511" s="52" t="s">
        <v>53</v>
      </c>
      <c r="B511" s="51"/>
      <c r="C511" s="1">
        <v>100</v>
      </c>
      <c r="D511" s="1"/>
    </row>
    <row r="512" spans="1:4" x14ac:dyDescent="0.3">
      <c r="A512" s="52"/>
      <c r="B512" s="51"/>
      <c r="C512" s="1">
        <v>0</v>
      </c>
      <c r="D512" s="1"/>
    </row>
    <row r="513" spans="1:4" x14ac:dyDescent="0.3">
      <c r="A513" s="59" t="s">
        <v>42</v>
      </c>
      <c r="B513" s="51"/>
      <c r="C513" s="3">
        <f>SUM(C502:C512)</f>
        <v>400</v>
      </c>
      <c r="D513" s="1"/>
    </row>
    <row r="514" spans="1:4" x14ac:dyDescent="0.3">
      <c r="A514" s="14"/>
      <c r="B514" s="14"/>
      <c r="C514" s="14"/>
      <c r="D514" s="14"/>
    </row>
    <row r="515" spans="1:4" x14ac:dyDescent="0.3">
      <c r="A515" t="s">
        <v>11</v>
      </c>
    </row>
    <row r="517" spans="1:4" x14ac:dyDescent="0.3">
      <c r="A517" t="s">
        <v>12</v>
      </c>
      <c r="B517" t="s">
        <v>13</v>
      </c>
    </row>
    <row r="520" spans="1:4" ht="15.6" x14ac:dyDescent="0.3">
      <c r="B520" s="4" t="s">
        <v>5</v>
      </c>
      <c r="C520" s="4"/>
    </row>
    <row r="521" spans="1:4" ht="15.6" x14ac:dyDescent="0.3">
      <c r="B521" s="4" t="s">
        <v>6</v>
      </c>
      <c r="C521" s="4"/>
    </row>
    <row r="522" spans="1:4" x14ac:dyDescent="0.3">
      <c r="A522" s="5" t="s">
        <v>7</v>
      </c>
      <c r="B522" s="5"/>
      <c r="C522" s="5"/>
      <c r="D522" s="5"/>
    </row>
    <row r="523" spans="1:4" x14ac:dyDescent="0.3">
      <c r="A523" s="5"/>
      <c r="B523" s="5" t="s">
        <v>30</v>
      </c>
      <c r="C523" s="5"/>
      <c r="D523" s="5"/>
    </row>
    <row r="524" spans="1:4" x14ac:dyDescent="0.3">
      <c r="A524" t="s">
        <v>22</v>
      </c>
      <c r="B524" t="s">
        <v>25</v>
      </c>
      <c r="C524" s="6">
        <v>25</v>
      </c>
    </row>
    <row r="527" spans="1:4" ht="28.8" x14ac:dyDescent="0.3">
      <c r="A527" s="1" t="s">
        <v>0</v>
      </c>
      <c r="B527" s="2" t="s">
        <v>1</v>
      </c>
      <c r="C527" s="2" t="s">
        <v>2</v>
      </c>
      <c r="D527" s="2" t="s">
        <v>3</v>
      </c>
    </row>
    <row r="528" spans="1:4" x14ac:dyDescent="0.3">
      <c r="A528" s="3" t="s">
        <v>4</v>
      </c>
      <c r="B528" s="1">
        <v>27151.08</v>
      </c>
      <c r="C528" s="1">
        <v>23822.27</v>
      </c>
      <c r="D528" s="1">
        <v>0</v>
      </c>
    </row>
    <row r="529" spans="1:4" x14ac:dyDescent="0.3">
      <c r="A529" s="49" t="s">
        <v>10</v>
      </c>
      <c r="B529" s="50"/>
      <c r="C529" s="51"/>
      <c r="D529" s="1">
        <f>B528-D528</f>
        <v>27151.08</v>
      </c>
    </row>
    <row r="530" spans="1:4" x14ac:dyDescent="0.3">
      <c r="A530" s="13"/>
      <c r="B530" s="13"/>
      <c r="C530" s="13"/>
      <c r="D530" s="14"/>
    </row>
    <row r="531" spans="1:4" ht="28.8" x14ac:dyDescent="0.3">
      <c r="A531" s="3" t="s">
        <v>37</v>
      </c>
      <c r="B531" s="3"/>
      <c r="C531" s="21" t="s">
        <v>41</v>
      </c>
      <c r="D531" s="3"/>
    </row>
    <row r="532" spans="1:4" x14ac:dyDescent="0.3">
      <c r="A532" s="3" t="s">
        <v>38</v>
      </c>
      <c r="B532" s="1"/>
      <c r="C532" s="1">
        <v>0</v>
      </c>
      <c r="D532" s="1"/>
    </row>
    <row r="533" spans="1:4" x14ac:dyDescent="0.3">
      <c r="A533" s="52"/>
      <c r="B533" s="51"/>
      <c r="C533" s="1">
        <v>0</v>
      </c>
      <c r="D533" s="1"/>
    </row>
    <row r="534" spans="1:4" x14ac:dyDescent="0.3">
      <c r="A534" s="52"/>
      <c r="B534" s="51"/>
      <c r="C534" s="1">
        <v>0</v>
      </c>
      <c r="D534" s="1"/>
    </row>
    <row r="535" spans="1:4" x14ac:dyDescent="0.3">
      <c r="A535" s="3" t="s">
        <v>40</v>
      </c>
      <c r="B535" s="1"/>
      <c r="C535" s="1">
        <v>0</v>
      </c>
      <c r="D535" s="1"/>
    </row>
    <row r="536" spans="1:4" x14ac:dyDescent="0.3">
      <c r="A536" s="52"/>
      <c r="B536" s="51"/>
      <c r="C536" s="1">
        <v>0</v>
      </c>
      <c r="D536" s="1"/>
    </row>
    <row r="537" spans="1:4" x14ac:dyDescent="0.3">
      <c r="A537" s="52"/>
      <c r="B537" s="51"/>
      <c r="C537" s="1">
        <v>0</v>
      </c>
      <c r="D537" s="1"/>
    </row>
    <row r="538" spans="1:4" x14ac:dyDescent="0.3">
      <c r="A538" s="61" t="s">
        <v>47</v>
      </c>
      <c r="B538" s="51"/>
      <c r="C538" s="1">
        <v>0</v>
      </c>
      <c r="D538" s="1"/>
    </row>
    <row r="539" spans="1:4" x14ac:dyDescent="0.3">
      <c r="A539" s="52"/>
      <c r="B539" s="51"/>
      <c r="C539" s="1">
        <v>0</v>
      </c>
      <c r="D539" s="1"/>
    </row>
    <row r="540" spans="1:4" x14ac:dyDescent="0.3">
      <c r="A540" s="52"/>
      <c r="B540" s="51"/>
      <c r="C540" s="1">
        <v>0</v>
      </c>
      <c r="D540" s="1"/>
    </row>
    <row r="541" spans="1:4" x14ac:dyDescent="0.3">
      <c r="A541" s="59" t="s">
        <v>42</v>
      </c>
      <c r="B541" s="51"/>
      <c r="C541" s="3">
        <f>SUM(C532:C540)</f>
        <v>0</v>
      </c>
      <c r="D541" s="1"/>
    </row>
    <row r="542" spans="1:4" x14ac:dyDescent="0.3">
      <c r="A542" s="14"/>
      <c r="B542" s="14"/>
      <c r="C542" s="14"/>
      <c r="D542" s="14"/>
    </row>
    <row r="543" spans="1:4" x14ac:dyDescent="0.3">
      <c r="A543" t="s">
        <v>11</v>
      </c>
    </row>
    <row r="545" spans="1:4" x14ac:dyDescent="0.3">
      <c r="A545" t="s">
        <v>12</v>
      </c>
      <c r="B545" t="s">
        <v>13</v>
      </c>
    </row>
    <row r="549" spans="1:4" ht="15.6" x14ac:dyDescent="0.3">
      <c r="B549" s="4" t="s">
        <v>5</v>
      </c>
      <c r="C549" s="4"/>
    </row>
    <row r="550" spans="1:4" ht="15.6" x14ac:dyDescent="0.3">
      <c r="B550" s="4" t="s">
        <v>6</v>
      </c>
      <c r="C550" s="4"/>
    </row>
    <row r="551" spans="1:4" x14ac:dyDescent="0.3">
      <c r="A551" s="5" t="s">
        <v>7</v>
      </c>
      <c r="B551" s="5"/>
      <c r="C551" s="5"/>
      <c r="D551" s="5"/>
    </row>
    <row r="552" spans="1:4" x14ac:dyDescent="0.3">
      <c r="A552" s="5"/>
      <c r="B552" s="5" t="s">
        <v>30</v>
      </c>
      <c r="C552" s="5"/>
      <c r="D552" s="5"/>
    </row>
    <row r="553" spans="1:4" x14ac:dyDescent="0.3">
      <c r="A553" t="s">
        <v>22</v>
      </c>
      <c r="B553" t="s">
        <v>25</v>
      </c>
      <c r="C553" s="6">
        <v>26</v>
      </c>
    </row>
    <row r="556" spans="1:4" ht="28.8" x14ac:dyDescent="0.3">
      <c r="A556" s="1" t="s">
        <v>0</v>
      </c>
      <c r="B556" s="2" t="s">
        <v>1</v>
      </c>
      <c r="C556" s="2" t="s">
        <v>2</v>
      </c>
      <c r="D556" s="2" t="s">
        <v>3</v>
      </c>
    </row>
    <row r="557" spans="1:4" x14ac:dyDescent="0.3">
      <c r="A557" s="3" t="s">
        <v>4</v>
      </c>
      <c r="B557" s="1">
        <v>53923.87</v>
      </c>
      <c r="C557" s="1">
        <v>51239.31</v>
      </c>
      <c r="D557" s="1">
        <v>55000</v>
      </c>
    </row>
    <row r="558" spans="1:4" x14ac:dyDescent="0.3">
      <c r="A558" s="49" t="s">
        <v>33</v>
      </c>
      <c r="B558" s="50"/>
      <c r="C558" s="51"/>
      <c r="D558" s="1">
        <f>B557-D557</f>
        <v>-1076.1299999999974</v>
      </c>
    </row>
    <row r="559" spans="1:4" x14ac:dyDescent="0.3">
      <c r="A559" s="13"/>
      <c r="B559" s="13"/>
      <c r="C559" s="13"/>
      <c r="D559" s="14"/>
    </row>
    <row r="560" spans="1:4" ht="28.8" x14ac:dyDescent="0.3">
      <c r="A560" s="3" t="s">
        <v>37</v>
      </c>
      <c r="B560" s="3"/>
      <c r="C560" s="21" t="s">
        <v>41</v>
      </c>
      <c r="D560" s="3"/>
    </row>
    <row r="561" spans="1:4" x14ac:dyDescent="0.3">
      <c r="A561" s="3" t="s">
        <v>38</v>
      </c>
      <c r="B561" s="1"/>
      <c r="C561" s="1">
        <v>0</v>
      </c>
      <c r="D561" s="1"/>
    </row>
    <row r="562" spans="1:4" x14ac:dyDescent="0.3">
      <c r="A562" s="52" t="s">
        <v>76</v>
      </c>
      <c r="B562" s="51"/>
      <c r="C562" s="1">
        <v>2000</v>
      </c>
      <c r="D562" s="1"/>
    </row>
    <row r="563" spans="1:4" x14ac:dyDescent="0.3">
      <c r="A563" s="52" t="s">
        <v>39</v>
      </c>
      <c r="B563" s="51"/>
      <c r="C563" s="1">
        <f>5600+2200+6000+9500+5200+2600</f>
        <v>31100</v>
      </c>
      <c r="D563" s="1"/>
    </row>
    <row r="564" spans="1:4" x14ac:dyDescent="0.3">
      <c r="A564" s="3" t="s">
        <v>40</v>
      </c>
      <c r="B564" s="1"/>
      <c r="C564" s="1">
        <v>0</v>
      </c>
      <c r="D564" s="1"/>
    </row>
    <row r="565" spans="1:4" x14ac:dyDescent="0.3">
      <c r="A565" s="52" t="s">
        <v>78</v>
      </c>
      <c r="B565" s="51"/>
      <c r="C565" s="1">
        <v>4800</v>
      </c>
      <c r="D565" s="1"/>
    </row>
    <row r="566" spans="1:4" x14ac:dyDescent="0.3">
      <c r="A566" s="52"/>
      <c r="B566" s="51"/>
      <c r="C566" s="1">
        <v>0</v>
      </c>
      <c r="D566" s="1"/>
    </row>
    <row r="567" spans="1:4" x14ac:dyDescent="0.3">
      <c r="A567" s="61" t="s">
        <v>47</v>
      </c>
      <c r="B567" s="51"/>
      <c r="C567" s="1">
        <v>0</v>
      </c>
      <c r="D567" s="1"/>
    </row>
    <row r="568" spans="1:4" x14ac:dyDescent="0.3">
      <c r="A568" s="52" t="s">
        <v>77</v>
      </c>
      <c r="B568" s="51"/>
      <c r="C568" s="1">
        <v>10000</v>
      </c>
      <c r="D568" s="1"/>
    </row>
    <row r="569" spans="1:4" x14ac:dyDescent="0.3">
      <c r="A569" s="52" t="s">
        <v>64</v>
      </c>
      <c r="B569" s="51"/>
      <c r="C569" s="1">
        <v>200</v>
      </c>
      <c r="D569" s="1"/>
    </row>
    <row r="570" spans="1:4" x14ac:dyDescent="0.3">
      <c r="A570" s="52"/>
      <c r="B570" s="51"/>
      <c r="C570" s="1">
        <v>0</v>
      </c>
      <c r="D570" s="1"/>
    </row>
    <row r="571" spans="1:4" x14ac:dyDescent="0.3">
      <c r="A571" s="56" t="s">
        <v>52</v>
      </c>
      <c r="B571" s="57"/>
      <c r="C571" s="1">
        <v>0</v>
      </c>
      <c r="D571" s="1"/>
    </row>
    <row r="572" spans="1:4" x14ac:dyDescent="0.3">
      <c r="A572" s="52" t="s">
        <v>53</v>
      </c>
      <c r="B572" s="51"/>
      <c r="C572" s="1">
        <f>1300+5600</f>
        <v>6900</v>
      </c>
      <c r="D572" s="1"/>
    </row>
    <row r="573" spans="1:4" x14ac:dyDescent="0.3">
      <c r="A573" s="52"/>
      <c r="B573" s="51"/>
      <c r="C573" s="1">
        <v>0</v>
      </c>
      <c r="D573" s="1"/>
    </row>
    <row r="574" spans="1:4" x14ac:dyDescent="0.3">
      <c r="A574" s="59" t="s">
        <v>42</v>
      </c>
      <c r="B574" s="51"/>
      <c r="C574" s="3">
        <f>SUM(C561:C573)</f>
        <v>55000</v>
      </c>
      <c r="D574" s="1"/>
    </row>
    <row r="575" spans="1:4" x14ac:dyDescent="0.3">
      <c r="A575" s="14"/>
      <c r="B575" s="14"/>
      <c r="C575" s="14"/>
      <c r="D575" s="14"/>
    </row>
    <row r="576" spans="1:4" x14ac:dyDescent="0.3">
      <c r="A576" t="s">
        <v>11</v>
      </c>
    </row>
    <row r="578" spans="1:4" x14ac:dyDescent="0.3">
      <c r="A578" t="s">
        <v>12</v>
      </c>
      <c r="B578" t="s">
        <v>13</v>
      </c>
    </row>
    <row r="581" spans="1:4" ht="15.6" x14ac:dyDescent="0.3">
      <c r="B581" s="4" t="s">
        <v>5</v>
      </c>
      <c r="C581" s="4"/>
    </row>
    <row r="582" spans="1:4" ht="15.6" x14ac:dyDescent="0.3">
      <c r="B582" s="4" t="s">
        <v>6</v>
      </c>
      <c r="C582" s="4"/>
    </row>
    <row r="583" spans="1:4" x14ac:dyDescent="0.3">
      <c r="A583" s="5" t="s">
        <v>7</v>
      </c>
      <c r="B583" s="5"/>
      <c r="C583" s="5"/>
      <c r="D583" s="5"/>
    </row>
    <row r="584" spans="1:4" x14ac:dyDescent="0.3">
      <c r="A584" s="5"/>
      <c r="B584" s="5" t="s">
        <v>30</v>
      </c>
      <c r="C584" s="5"/>
      <c r="D584" s="5"/>
    </row>
    <row r="585" spans="1:4" x14ac:dyDescent="0.3">
      <c r="A585" t="s">
        <v>22</v>
      </c>
      <c r="B585" t="s">
        <v>25</v>
      </c>
      <c r="C585" s="6">
        <v>27</v>
      </c>
    </row>
    <row r="588" spans="1:4" ht="28.8" x14ac:dyDescent="0.3">
      <c r="A588" s="1" t="s">
        <v>0</v>
      </c>
      <c r="B588" s="2" t="s">
        <v>1</v>
      </c>
      <c r="C588" s="2" t="s">
        <v>2</v>
      </c>
      <c r="D588" s="2" t="s">
        <v>3</v>
      </c>
    </row>
    <row r="589" spans="1:4" x14ac:dyDescent="0.3">
      <c r="A589" s="3" t="s">
        <v>4</v>
      </c>
      <c r="B589" s="1">
        <v>53085.78</v>
      </c>
      <c r="C589" s="1">
        <v>50449.42</v>
      </c>
      <c r="D589" s="1">
        <v>41300</v>
      </c>
    </row>
    <row r="590" spans="1:4" x14ac:dyDescent="0.3">
      <c r="A590" s="49" t="s">
        <v>31</v>
      </c>
      <c r="B590" s="50"/>
      <c r="C590" s="51"/>
      <c r="D590" s="1">
        <f>B589-D589</f>
        <v>11785.779999999999</v>
      </c>
    </row>
    <row r="592" spans="1:4" ht="28.8" x14ac:dyDescent="0.3">
      <c r="A592" s="3" t="s">
        <v>37</v>
      </c>
      <c r="B592" s="3"/>
      <c r="C592" s="21" t="s">
        <v>41</v>
      </c>
      <c r="D592" s="3"/>
    </row>
    <row r="593" spans="1:4" x14ac:dyDescent="0.3">
      <c r="A593" s="3" t="s">
        <v>38</v>
      </c>
      <c r="B593" s="1"/>
      <c r="C593" s="1">
        <v>0</v>
      </c>
      <c r="D593" s="1"/>
    </row>
    <row r="594" spans="1:4" x14ac:dyDescent="0.3">
      <c r="A594" s="52" t="s">
        <v>39</v>
      </c>
      <c r="B594" s="51"/>
      <c r="C594" s="1">
        <f>6100+3800+3400+6500+10800+6100+3300</f>
        <v>40000</v>
      </c>
      <c r="D594" s="1"/>
    </row>
    <row r="595" spans="1:4" x14ac:dyDescent="0.3">
      <c r="A595" s="52"/>
      <c r="B595" s="51"/>
      <c r="C595" s="1">
        <v>0</v>
      </c>
      <c r="D595" s="1"/>
    </row>
    <row r="596" spans="1:4" x14ac:dyDescent="0.3">
      <c r="A596" s="3" t="s">
        <v>40</v>
      </c>
      <c r="B596" s="1"/>
      <c r="C596" s="1">
        <v>0</v>
      </c>
      <c r="D596" s="1"/>
    </row>
    <row r="597" spans="1:4" x14ac:dyDescent="0.3">
      <c r="A597" s="52"/>
      <c r="B597" s="51"/>
      <c r="C597" s="1">
        <v>0</v>
      </c>
      <c r="D597" s="1"/>
    </row>
    <row r="598" spans="1:4" x14ac:dyDescent="0.3">
      <c r="A598" s="52"/>
      <c r="B598" s="51"/>
      <c r="C598" s="1">
        <v>0</v>
      </c>
      <c r="D598" s="1"/>
    </row>
    <row r="599" spans="1:4" x14ac:dyDescent="0.3">
      <c r="A599" s="61" t="s">
        <v>47</v>
      </c>
      <c r="B599" s="51"/>
      <c r="C599" s="1">
        <v>0</v>
      </c>
      <c r="D599" s="1"/>
    </row>
    <row r="600" spans="1:4" x14ac:dyDescent="0.3">
      <c r="A600" s="52" t="s">
        <v>64</v>
      </c>
      <c r="B600" s="51"/>
      <c r="C600" s="1">
        <f>1000+300</f>
        <v>1300</v>
      </c>
      <c r="D600" s="1"/>
    </row>
    <row r="601" spans="1:4" x14ac:dyDescent="0.3">
      <c r="A601" s="52"/>
      <c r="B601" s="51"/>
      <c r="C601" s="1">
        <v>0</v>
      </c>
      <c r="D601" s="1"/>
    </row>
    <row r="602" spans="1:4" x14ac:dyDescent="0.3">
      <c r="A602" s="59" t="s">
        <v>42</v>
      </c>
      <c r="B602" s="51"/>
      <c r="C602" s="3">
        <f>SUM(C593:C601)</f>
        <v>41300</v>
      </c>
      <c r="D602" s="1"/>
    </row>
    <row r="603" spans="1:4" x14ac:dyDescent="0.3">
      <c r="A603" s="14"/>
      <c r="B603" s="14"/>
      <c r="C603" s="14"/>
      <c r="D603" s="14"/>
    </row>
    <row r="604" spans="1:4" x14ac:dyDescent="0.3">
      <c r="A604" t="s">
        <v>11</v>
      </c>
    </row>
    <row r="606" spans="1:4" x14ac:dyDescent="0.3">
      <c r="A606" t="s">
        <v>12</v>
      </c>
      <c r="B606" t="s">
        <v>13</v>
      </c>
    </row>
    <row r="609" spans="1:4" ht="15.6" x14ac:dyDescent="0.3">
      <c r="B609" s="4" t="s">
        <v>5</v>
      </c>
      <c r="C609" s="4"/>
    </row>
    <row r="610" spans="1:4" ht="15.6" x14ac:dyDescent="0.3">
      <c r="B610" s="4" t="s">
        <v>6</v>
      </c>
      <c r="C610" s="4"/>
    </row>
    <row r="611" spans="1:4" x14ac:dyDescent="0.3">
      <c r="A611" s="5" t="s">
        <v>7</v>
      </c>
      <c r="B611" s="5"/>
      <c r="C611" s="5"/>
      <c r="D611" s="5"/>
    </row>
    <row r="612" spans="1:4" x14ac:dyDescent="0.3">
      <c r="A612" s="5"/>
      <c r="B612" s="5" t="s">
        <v>30</v>
      </c>
      <c r="C612" s="5"/>
      <c r="D612" s="5"/>
    </row>
    <row r="613" spans="1:4" x14ac:dyDescent="0.3">
      <c r="A613" t="s">
        <v>22</v>
      </c>
      <c r="B613" t="s">
        <v>25</v>
      </c>
      <c r="C613" s="6">
        <v>28</v>
      </c>
    </row>
    <row r="616" spans="1:4" ht="28.8" x14ac:dyDescent="0.3">
      <c r="A616" s="1" t="s">
        <v>0</v>
      </c>
      <c r="B616" s="2" t="s">
        <v>1</v>
      </c>
      <c r="C616" s="2" t="s">
        <v>2</v>
      </c>
      <c r="D616" s="2" t="s">
        <v>3</v>
      </c>
    </row>
    <row r="617" spans="1:4" x14ac:dyDescent="0.3">
      <c r="A617" s="3" t="s">
        <v>4</v>
      </c>
      <c r="B617" s="1">
        <v>54879.18</v>
      </c>
      <c r="C617" s="1">
        <v>51629.31</v>
      </c>
      <c r="D617" s="1">
        <v>37200</v>
      </c>
    </row>
    <row r="618" spans="1:4" x14ac:dyDescent="0.3">
      <c r="A618" s="49" t="s">
        <v>10</v>
      </c>
      <c r="B618" s="50"/>
      <c r="C618" s="51"/>
      <c r="D618" s="1">
        <f>B617-D617</f>
        <v>17679.18</v>
      </c>
    </row>
    <row r="619" spans="1:4" x14ac:dyDescent="0.3">
      <c r="A619" s="13"/>
      <c r="B619" s="13"/>
      <c r="C619" s="13"/>
      <c r="D619" s="14"/>
    </row>
    <row r="620" spans="1:4" ht="28.8" x14ac:dyDescent="0.3">
      <c r="A620" s="3" t="s">
        <v>37</v>
      </c>
      <c r="B620" s="3"/>
      <c r="C620" s="21" t="s">
        <v>41</v>
      </c>
      <c r="D620" s="3"/>
    </row>
    <row r="621" spans="1:4" x14ac:dyDescent="0.3">
      <c r="A621" s="3" t="s">
        <v>38</v>
      </c>
      <c r="B621" s="1"/>
      <c r="C621" s="1">
        <v>0</v>
      </c>
      <c r="D621" s="1"/>
    </row>
    <row r="622" spans="1:4" ht="26.4" customHeight="1" x14ac:dyDescent="0.3">
      <c r="A622" s="52" t="s">
        <v>80</v>
      </c>
      <c r="B622" s="62"/>
      <c r="C622" s="1">
        <v>2900</v>
      </c>
      <c r="D622" s="1"/>
    </row>
    <row r="623" spans="1:4" x14ac:dyDescent="0.3">
      <c r="A623" s="52" t="s">
        <v>39</v>
      </c>
      <c r="B623" s="62"/>
      <c r="C623" s="1">
        <f>2200+2200</f>
        <v>4400</v>
      </c>
      <c r="D623" s="1"/>
    </row>
    <row r="624" spans="1:4" x14ac:dyDescent="0.3">
      <c r="A624" s="3" t="s">
        <v>40</v>
      </c>
      <c r="B624" s="1"/>
      <c r="C624" s="1">
        <v>0</v>
      </c>
      <c r="D624" s="1"/>
    </row>
    <row r="625" spans="1:4" x14ac:dyDescent="0.3">
      <c r="A625" s="52" t="s">
        <v>63</v>
      </c>
      <c r="B625" s="51"/>
      <c r="C625" s="1">
        <v>4800</v>
      </c>
      <c r="D625" s="1"/>
    </row>
    <row r="626" spans="1:4" x14ac:dyDescent="0.3">
      <c r="A626" s="52" t="s">
        <v>79</v>
      </c>
      <c r="B626" s="51"/>
      <c r="C626" s="1">
        <f>11000+11100</f>
        <v>22100</v>
      </c>
      <c r="D626" s="1"/>
    </row>
    <row r="627" spans="1:4" ht="14.4" customHeight="1" x14ac:dyDescent="0.3">
      <c r="A627" s="61" t="s">
        <v>47</v>
      </c>
      <c r="B627" s="51"/>
      <c r="C627" s="1">
        <v>0</v>
      </c>
      <c r="D627" s="1"/>
    </row>
    <row r="628" spans="1:4" ht="14.4" customHeight="1" x14ac:dyDescent="0.3">
      <c r="A628" s="52" t="s">
        <v>64</v>
      </c>
      <c r="B628" s="51"/>
      <c r="C628" s="1">
        <v>1300</v>
      </c>
      <c r="D628" s="1"/>
    </row>
    <row r="629" spans="1:4" ht="14.4" customHeight="1" x14ac:dyDescent="0.3">
      <c r="A629" s="52"/>
      <c r="B629" s="51"/>
      <c r="C629" s="1">
        <v>0</v>
      </c>
      <c r="D629" s="1"/>
    </row>
    <row r="630" spans="1:4" ht="14.4" customHeight="1" x14ac:dyDescent="0.3">
      <c r="A630" s="52"/>
      <c r="B630" s="51"/>
      <c r="C630" s="1">
        <v>0</v>
      </c>
      <c r="D630" s="1"/>
    </row>
    <row r="631" spans="1:4" ht="14.4" customHeight="1" x14ac:dyDescent="0.3">
      <c r="A631" s="56" t="s">
        <v>52</v>
      </c>
      <c r="B631" s="57"/>
      <c r="C631" s="1">
        <v>0</v>
      </c>
      <c r="D631" s="1"/>
    </row>
    <row r="632" spans="1:4" x14ac:dyDescent="0.3">
      <c r="A632" s="52" t="s">
        <v>53</v>
      </c>
      <c r="B632" s="51"/>
      <c r="C632" s="1">
        <v>1700</v>
      </c>
      <c r="D632" s="1"/>
    </row>
    <row r="633" spans="1:4" x14ac:dyDescent="0.3">
      <c r="A633" s="52"/>
      <c r="B633" s="51"/>
      <c r="C633" s="1">
        <v>0</v>
      </c>
      <c r="D633" s="1"/>
    </row>
    <row r="634" spans="1:4" x14ac:dyDescent="0.3">
      <c r="A634" s="59" t="s">
        <v>42</v>
      </c>
      <c r="B634" s="51"/>
      <c r="C634" s="3">
        <f>SUM(C621:C633)</f>
        <v>37200</v>
      </c>
      <c r="D634" s="1"/>
    </row>
    <row r="635" spans="1:4" x14ac:dyDescent="0.3">
      <c r="A635" s="14"/>
      <c r="B635" s="14"/>
      <c r="C635" s="14"/>
      <c r="D635" s="14"/>
    </row>
    <row r="636" spans="1:4" x14ac:dyDescent="0.3">
      <c r="A636" t="s">
        <v>11</v>
      </c>
    </row>
    <row r="638" spans="1:4" x14ac:dyDescent="0.3">
      <c r="A638" t="s">
        <v>12</v>
      </c>
      <c r="B638" t="s">
        <v>13</v>
      </c>
    </row>
    <row r="641" spans="1:4" ht="15.6" x14ac:dyDescent="0.3">
      <c r="B641" s="4" t="s">
        <v>5</v>
      </c>
      <c r="C641" s="4"/>
    </row>
    <row r="642" spans="1:4" ht="15.6" x14ac:dyDescent="0.3">
      <c r="B642" s="4" t="s">
        <v>6</v>
      </c>
      <c r="C642" s="4"/>
    </row>
    <row r="643" spans="1:4" x14ac:dyDescent="0.3">
      <c r="A643" s="5" t="s">
        <v>7</v>
      </c>
      <c r="B643" s="5"/>
      <c r="C643" s="5"/>
      <c r="D643" s="5"/>
    </row>
    <row r="644" spans="1:4" x14ac:dyDescent="0.3">
      <c r="A644" s="5"/>
      <c r="B644" s="5" t="s">
        <v>30</v>
      </c>
      <c r="C644" s="5"/>
      <c r="D644" s="5"/>
    </row>
    <row r="645" spans="1:4" x14ac:dyDescent="0.3">
      <c r="A645" t="s">
        <v>22</v>
      </c>
      <c r="B645" t="s">
        <v>25</v>
      </c>
      <c r="C645" s="6">
        <v>30</v>
      </c>
    </row>
    <row r="648" spans="1:4" ht="28.8" x14ac:dyDescent="0.3">
      <c r="A648" s="1" t="s">
        <v>0</v>
      </c>
      <c r="B648" s="2" t="s">
        <v>1</v>
      </c>
      <c r="C648" s="2" t="s">
        <v>2</v>
      </c>
      <c r="D648" s="2" t="s">
        <v>3</v>
      </c>
    </row>
    <row r="649" spans="1:4" x14ac:dyDescent="0.3">
      <c r="A649" s="3" t="s">
        <v>4</v>
      </c>
      <c r="B649" s="1">
        <v>55470.12</v>
      </c>
      <c r="C649" s="1">
        <v>55735.75</v>
      </c>
      <c r="D649" s="1">
        <v>118900</v>
      </c>
    </row>
    <row r="650" spans="1:4" x14ac:dyDescent="0.3">
      <c r="A650" s="49" t="s">
        <v>14</v>
      </c>
      <c r="B650" s="50"/>
      <c r="C650" s="51"/>
      <c r="D650" s="1">
        <f>B649-D649</f>
        <v>-63429.88</v>
      </c>
    </row>
    <row r="651" spans="1:4" x14ac:dyDescent="0.3">
      <c r="A651" s="13"/>
      <c r="B651" s="13"/>
      <c r="C651" s="13"/>
      <c r="D651" s="14"/>
    </row>
    <row r="652" spans="1:4" ht="28.8" x14ac:dyDescent="0.3">
      <c r="A652" s="3" t="s">
        <v>37</v>
      </c>
      <c r="B652" s="3"/>
      <c r="C652" s="21" t="s">
        <v>41</v>
      </c>
      <c r="D652" s="3"/>
    </row>
    <row r="653" spans="1:4" x14ac:dyDescent="0.3">
      <c r="A653" s="3" t="s">
        <v>38</v>
      </c>
      <c r="B653" s="1"/>
      <c r="C653" s="1">
        <v>0</v>
      </c>
      <c r="D653" s="1"/>
    </row>
    <row r="654" spans="1:4" x14ac:dyDescent="0.3">
      <c r="A654" s="52" t="s">
        <v>39</v>
      </c>
      <c r="B654" s="51"/>
      <c r="C654" s="1">
        <f>19200+6100+6100+12500</f>
        <v>43900</v>
      </c>
      <c r="D654" s="1"/>
    </row>
    <row r="655" spans="1:4" x14ac:dyDescent="0.3">
      <c r="A655" s="52" t="s">
        <v>83</v>
      </c>
      <c r="B655" s="51"/>
      <c r="C655" s="1">
        <f>1000-400</f>
        <v>600</v>
      </c>
      <c r="D655" s="1"/>
    </row>
    <row r="656" spans="1:4" x14ac:dyDescent="0.3">
      <c r="A656" s="3" t="s">
        <v>40</v>
      </c>
      <c r="B656" s="1"/>
      <c r="C656" s="1">
        <v>0</v>
      </c>
      <c r="D656" s="1"/>
    </row>
    <row r="657" spans="1:4" x14ac:dyDescent="0.3">
      <c r="A657" s="52" t="s">
        <v>81</v>
      </c>
      <c r="B657" s="51"/>
      <c r="C657" s="1">
        <v>21400</v>
      </c>
      <c r="D657" s="1"/>
    </row>
    <row r="658" spans="1:4" x14ac:dyDescent="0.3">
      <c r="A658" s="52"/>
      <c r="B658" s="51"/>
      <c r="C658" s="1">
        <v>0</v>
      </c>
      <c r="D658" s="1"/>
    </row>
    <row r="659" spans="1:4" ht="14.4" customHeight="1" x14ac:dyDescent="0.3">
      <c r="A659" s="61" t="s">
        <v>47</v>
      </c>
      <c r="B659" s="51"/>
      <c r="C659" s="1">
        <v>0</v>
      </c>
      <c r="D659" s="1"/>
    </row>
    <row r="660" spans="1:4" x14ac:dyDescent="0.3">
      <c r="A660" s="52" t="s">
        <v>72</v>
      </c>
      <c r="B660" s="51"/>
      <c r="C660" s="1">
        <v>500</v>
      </c>
      <c r="D660" s="1"/>
    </row>
    <row r="661" spans="1:4" x14ac:dyDescent="0.3">
      <c r="A661" s="52" t="s">
        <v>82</v>
      </c>
      <c r="B661" s="51"/>
      <c r="C661" s="1">
        <v>47000</v>
      </c>
      <c r="D661" s="1"/>
    </row>
    <row r="662" spans="1:4" x14ac:dyDescent="0.3">
      <c r="A662" s="52"/>
      <c r="B662" s="51"/>
      <c r="C662" s="1">
        <v>0</v>
      </c>
      <c r="D662" s="1"/>
    </row>
    <row r="663" spans="1:4" x14ac:dyDescent="0.3">
      <c r="A663" s="56" t="s">
        <v>52</v>
      </c>
      <c r="B663" s="57"/>
      <c r="C663" s="1">
        <v>0</v>
      </c>
      <c r="D663" s="1"/>
    </row>
    <row r="664" spans="1:4" x14ac:dyDescent="0.3">
      <c r="A664" s="52" t="s">
        <v>53</v>
      </c>
      <c r="B664" s="51"/>
      <c r="C664" s="1">
        <f>1300+1700+1700</f>
        <v>4700</v>
      </c>
      <c r="D664" s="1"/>
    </row>
    <row r="665" spans="1:4" x14ac:dyDescent="0.3">
      <c r="A665" s="52"/>
      <c r="B665" s="51"/>
      <c r="C665" s="1">
        <v>0</v>
      </c>
      <c r="D665" s="1"/>
    </row>
    <row r="666" spans="1:4" x14ac:dyDescent="0.3">
      <c r="A666" s="59" t="s">
        <v>42</v>
      </c>
      <c r="B666" s="51"/>
      <c r="C666" s="3">
        <f>SUM(C653:C665)</f>
        <v>118100</v>
      </c>
      <c r="D666" s="1"/>
    </row>
    <row r="667" spans="1:4" x14ac:dyDescent="0.3">
      <c r="A667" s="14"/>
      <c r="B667" s="14"/>
      <c r="C667" s="14"/>
      <c r="D667" s="14"/>
    </row>
    <row r="668" spans="1:4" x14ac:dyDescent="0.3">
      <c r="A668" t="s">
        <v>11</v>
      </c>
    </row>
    <row r="670" spans="1:4" x14ac:dyDescent="0.3">
      <c r="A670" t="s">
        <v>12</v>
      </c>
      <c r="B670" t="s">
        <v>13</v>
      </c>
    </row>
    <row r="672" spans="1:4" ht="15.6" x14ac:dyDescent="0.3">
      <c r="B672" s="4" t="s">
        <v>6</v>
      </c>
      <c r="C672" s="4"/>
    </row>
    <row r="673" spans="1:9" x14ac:dyDescent="0.3">
      <c r="A673" s="5" t="s">
        <v>7</v>
      </c>
      <c r="B673" s="5"/>
      <c r="C673" s="5"/>
      <c r="D673" s="5"/>
    </row>
    <row r="674" spans="1:9" x14ac:dyDescent="0.3">
      <c r="A674" s="5"/>
      <c r="B674" s="5" t="s">
        <v>30</v>
      </c>
      <c r="C674" s="5"/>
      <c r="D674" s="5"/>
    </row>
    <row r="675" spans="1:9" x14ac:dyDescent="0.3">
      <c r="A675" t="s">
        <v>22</v>
      </c>
      <c r="B675" t="s">
        <v>25</v>
      </c>
      <c r="C675" s="6">
        <v>32</v>
      </c>
    </row>
    <row r="678" spans="1:9" ht="28.8" x14ac:dyDescent="0.3">
      <c r="A678" s="1" t="s">
        <v>0</v>
      </c>
      <c r="B678" s="2" t="s">
        <v>1</v>
      </c>
      <c r="C678" s="2" t="s">
        <v>2</v>
      </c>
      <c r="D678" s="2" t="s">
        <v>3</v>
      </c>
    </row>
    <row r="679" spans="1:9" x14ac:dyDescent="0.3">
      <c r="A679" s="3" t="s">
        <v>4</v>
      </c>
      <c r="B679" s="1">
        <v>54191.82</v>
      </c>
      <c r="C679" s="1">
        <v>50644.38</v>
      </c>
      <c r="D679" s="1">
        <v>48400</v>
      </c>
    </row>
    <row r="680" spans="1:9" x14ac:dyDescent="0.3">
      <c r="A680" s="49" t="s">
        <v>10</v>
      </c>
      <c r="B680" s="50"/>
      <c r="C680" s="51"/>
      <c r="D680" s="1">
        <f>B679-D679</f>
        <v>5791.82</v>
      </c>
    </row>
    <row r="682" spans="1:9" ht="28.8" x14ac:dyDescent="0.3">
      <c r="A682" s="3" t="s">
        <v>37</v>
      </c>
      <c r="B682" s="3"/>
      <c r="C682" s="21" t="s">
        <v>41</v>
      </c>
      <c r="D682" s="3"/>
    </row>
    <row r="683" spans="1:9" x14ac:dyDescent="0.3">
      <c r="A683" s="3" t="s">
        <v>38</v>
      </c>
      <c r="B683" s="1"/>
      <c r="C683" s="1">
        <v>0</v>
      </c>
      <c r="D683" s="1"/>
    </row>
    <row r="684" spans="1:9" x14ac:dyDescent="0.3">
      <c r="A684" s="52" t="s">
        <v>39</v>
      </c>
      <c r="B684" s="51"/>
      <c r="C684" s="1">
        <f>3300+800+8600+10600+4400</f>
        <v>27700</v>
      </c>
      <c r="D684" s="1"/>
    </row>
    <row r="685" spans="1:9" x14ac:dyDescent="0.3">
      <c r="A685" s="52"/>
      <c r="B685" s="51"/>
      <c r="C685" s="1">
        <v>0</v>
      </c>
      <c r="D685" s="1"/>
    </row>
    <row r="686" spans="1:9" x14ac:dyDescent="0.3">
      <c r="A686" s="3" t="s">
        <v>40</v>
      </c>
      <c r="B686" s="1"/>
      <c r="C686" s="1">
        <v>0</v>
      </c>
      <c r="D686" s="1"/>
    </row>
    <row r="687" spans="1:9" x14ac:dyDescent="0.3">
      <c r="A687" s="52" t="s">
        <v>84</v>
      </c>
      <c r="B687" s="51"/>
      <c r="C687" s="1">
        <v>300</v>
      </c>
      <c r="D687" s="1"/>
      <c r="F687" s="53"/>
      <c r="G687" s="48"/>
      <c r="H687" s="14"/>
      <c r="I687" s="14"/>
    </row>
    <row r="688" spans="1:9" x14ac:dyDescent="0.3">
      <c r="A688" s="52" t="s">
        <v>85</v>
      </c>
      <c r="B688" s="51"/>
      <c r="C688" s="1">
        <v>14000</v>
      </c>
      <c r="D688" s="1"/>
      <c r="F688" s="47"/>
      <c r="G688" s="48"/>
      <c r="H688" s="14"/>
      <c r="I688" s="14"/>
    </row>
    <row r="689" spans="1:9" ht="14.4" customHeight="1" x14ac:dyDescent="0.3">
      <c r="A689" s="61" t="s">
        <v>47</v>
      </c>
      <c r="B689" s="51"/>
      <c r="C689" s="1">
        <v>0</v>
      </c>
      <c r="D689" s="1"/>
      <c r="F689" s="47"/>
      <c r="G689" s="48"/>
      <c r="H689" s="14"/>
      <c r="I689" s="14"/>
    </row>
    <row r="690" spans="1:9" x14ac:dyDescent="0.3">
      <c r="A690" s="52" t="s">
        <v>64</v>
      </c>
      <c r="B690" s="51"/>
      <c r="C690" s="1">
        <f>1300+2100</f>
        <v>3400</v>
      </c>
      <c r="D690" s="1"/>
      <c r="F690" s="47"/>
      <c r="G690" s="48"/>
      <c r="H690" s="14"/>
      <c r="I690" s="14"/>
    </row>
    <row r="691" spans="1:9" x14ac:dyDescent="0.3">
      <c r="A691" s="52"/>
      <c r="B691" s="51"/>
      <c r="C691" s="1"/>
      <c r="D691" s="1"/>
      <c r="F691" s="54"/>
      <c r="G691" s="55"/>
      <c r="H691" s="14"/>
      <c r="I691" s="14"/>
    </row>
    <row r="692" spans="1:9" x14ac:dyDescent="0.3">
      <c r="A692" s="52"/>
      <c r="B692" s="51"/>
      <c r="C692" s="1">
        <v>0</v>
      </c>
      <c r="D692" s="1"/>
      <c r="F692" s="47"/>
      <c r="G692" s="48"/>
      <c r="H692" s="14"/>
      <c r="I692" s="14"/>
    </row>
    <row r="693" spans="1:9" x14ac:dyDescent="0.3">
      <c r="A693" s="56" t="s">
        <v>52</v>
      </c>
      <c r="B693" s="57"/>
      <c r="C693" s="1">
        <v>0</v>
      </c>
      <c r="D693" s="1"/>
      <c r="F693" s="47"/>
      <c r="G693" s="48"/>
      <c r="H693" s="14"/>
      <c r="I693" s="14"/>
    </row>
    <row r="694" spans="1:9" x14ac:dyDescent="0.3">
      <c r="A694" s="52" t="s">
        <v>53</v>
      </c>
      <c r="B694" s="51"/>
      <c r="C694" s="1">
        <f>1300+1700</f>
        <v>3000</v>
      </c>
      <c r="D694" s="1"/>
      <c r="F694" s="58"/>
      <c r="G694" s="48"/>
      <c r="H694" s="23"/>
      <c r="I694" s="14"/>
    </row>
    <row r="695" spans="1:9" x14ac:dyDescent="0.3">
      <c r="A695" s="52"/>
      <c r="B695" s="51"/>
      <c r="C695" s="1">
        <v>0</v>
      </c>
      <c r="D695" s="1"/>
      <c r="F695" s="14"/>
      <c r="G695" s="14"/>
      <c r="H695" s="14"/>
      <c r="I695" s="14"/>
    </row>
    <row r="696" spans="1:9" x14ac:dyDescent="0.3">
      <c r="A696" s="59" t="s">
        <v>42</v>
      </c>
      <c r="B696" s="51"/>
      <c r="C696" s="3">
        <f>SUM(C683:C695)</f>
        <v>48400</v>
      </c>
      <c r="D696" s="1"/>
      <c r="F696" s="14"/>
      <c r="G696" s="14"/>
      <c r="H696" s="14"/>
      <c r="I696" s="14"/>
    </row>
    <row r="697" spans="1:9" x14ac:dyDescent="0.3">
      <c r="A697" s="14"/>
      <c r="B697" s="14"/>
      <c r="C697" s="14"/>
      <c r="D697" s="14"/>
      <c r="F697" s="14"/>
      <c r="G697" s="14"/>
      <c r="H697" s="14"/>
      <c r="I697" s="14"/>
    </row>
    <row r="698" spans="1:9" x14ac:dyDescent="0.3">
      <c r="A698" t="s">
        <v>11</v>
      </c>
      <c r="F698" s="14"/>
      <c r="G698" s="14"/>
      <c r="H698" s="14"/>
      <c r="I698" s="14"/>
    </row>
    <row r="699" spans="1:9" x14ac:dyDescent="0.3">
      <c r="A699" t="s">
        <v>12</v>
      </c>
      <c r="B699" t="s">
        <v>13</v>
      </c>
    </row>
    <row r="702" spans="1:9" ht="15.6" x14ac:dyDescent="0.3">
      <c r="B702" s="4" t="s">
        <v>6</v>
      </c>
      <c r="C702" s="4"/>
    </row>
    <row r="703" spans="1:9" x14ac:dyDescent="0.3">
      <c r="A703" s="5" t="s">
        <v>7</v>
      </c>
      <c r="B703" s="5"/>
      <c r="C703" s="5"/>
      <c r="D703" s="5"/>
    </row>
    <row r="704" spans="1:9" x14ac:dyDescent="0.3">
      <c r="A704" s="5"/>
      <c r="B704" s="5" t="s">
        <v>30</v>
      </c>
      <c r="C704" s="5"/>
      <c r="D704" s="5"/>
    </row>
    <row r="705" spans="1:4" x14ac:dyDescent="0.3">
      <c r="A705" t="s">
        <v>22</v>
      </c>
      <c r="B705" t="s">
        <v>25</v>
      </c>
      <c r="C705" s="6">
        <v>44</v>
      </c>
    </row>
    <row r="708" spans="1:4" ht="28.8" x14ac:dyDescent="0.3">
      <c r="A708" s="1" t="s">
        <v>0</v>
      </c>
      <c r="B708" s="2" t="s">
        <v>1</v>
      </c>
      <c r="C708" s="2" t="s">
        <v>2</v>
      </c>
      <c r="D708" s="2" t="s">
        <v>3</v>
      </c>
    </row>
    <row r="709" spans="1:4" x14ac:dyDescent="0.3">
      <c r="A709" s="3" t="s">
        <v>4</v>
      </c>
      <c r="B709" s="1">
        <v>66968.58</v>
      </c>
      <c r="C709" s="1">
        <v>56825.69</v>
      </c>
      <c r="D709" s="1">
        <v>8400</v>
      </c>
    </row>
    <row r="710" spans="1:4" x14ac:dyDescent="0.3">
      <c r="A710" s="49" t="s">
        <v>10</v>
      </c>
      <c r="B710" s="50"/>
      <c r="C710" s="51"/>
      <c r="D710" s="1">
        <f>B709-D709</f>
        <v>58568.58</v>
      </c>
    </row>
    <row r="712" spans="1:4" ht="28.8" x14ac:dyDescent="0.3">
      <c r="A712" s="3" t="s">
        <v>37</v>
      </c>
      <c r="B712" s="3"/>
      <c r="C712" s="21" t="s">
        <v>41</v>
      </c>
      <c r="D712" s="3"/>
    </row>
    <row r="713" spans="1:4" x14ac:dyDescent="0.3">
      <c r="A713" s="3" t="s">
        <v>38</v>
      </c>
      <c r="B713" s="1"/>
      <c r="C713" s="1">
        <v>0</v>
      </c>
      <c r="D713" s="1"/>
    </row>
    <row r="714" spans="1:4" x14ac:dyDescent="0.3">
      <c r="A714" s="52" t="s">
        <v>87</v>
      </c>
      <c r="B714" s="51"/>
      <c r="C714" s="1">
        <f>3600+1500</f>
        <v>5100</v>
      </c>
      <c r="D714" s="1"/>
    </row>
    <row r="715" spans="1:4" x14ac:dyDescent="0.3">
      <c r="A715" s="52" t="s">
        <v>39</v>
      </c>
      <c r="B715" s="51"/>
      <c r="C715" s="1">
        <v>400</v>
      </c>
      <c r="D715" s="1"/>
    </row>
    <row r="716" spans="1:4" x14ac:dyDescent="0.3">
      <c r="A716" s="3" t="s">
        <v>40</v>
      </c>
      <c r="B716" s="1"/>
      <c r="C716" s="1">
        <v>0</v>
      </c>
      <c r="D716" s="1"/>
    </row>
    <row r="717" spans="1:4" x14ac:dyDescent="0.3">
      <c r="A717" s="52" t="s">
        <v>86</v>
      </c>
      <c r="B717" s="51"/>
      <c r="C717" s="1">
        <v>1700</v>
      </c>
      <c r="D717" s="1"/>
    </row>
    <row r="718" spans="1:4" x14ac:dyDescent="0.3">
      <c r="A718" s="52" t="s">
        <v>88</v>
      </c>
      <c r="B718" s="51"/>
      <c r="C718" s="1">
        <v>1200</v>
      </c>
      <c r="D718" s="1"/>
    </row>
    <row r="719" spans="1:4" ht="14.4" customHeight="1" x14ac:dyDescent="0.3">
      <c r="A719" s="61" t="s">
        <v>47</v>
      </c>
      <c r="B719" s="51"/>
      <c r="C719" s="1">
        <v>0</v>
      </c>
      <c r="D719" s="1"/>
    </row>
    <row r="720" spans="1:4" x14ac:dyDescent="0.3">
      <c r="A720" s="52"/>
      <c r="B720" s="51"/>
      <c r="C720" s="1">
        <v>0</v>
      </c>
      <c r="D720" s="1"/>
    </row>
    <row r="721" spans="1:4" x14ac:dyDescent="0.3">
      <c r="A721" s="52"/>
      <c r="B721" s="51"/>
      <c r="C721" s="1">
        <v>0</v>
      </c>
      <c r="D721" s="1"/>
    </row>
    <row r="722" spans="1:4" x14ac:dyDescent="0.3">
      <c r="A722" s="59" t="s">
        <v>42</v>
      </c>
      <c r="B722" s="51"/>
      <c r="C722" s="3">
        <f>SUM(C713:C721)</f>
        <v>8400</v>
      </c>
      <c r="D722" s="1"/>
    </row>
    <row r="723" spans="1:4" x14ac:dyDescent="0.3">
      <c r="A723" s="14"/>
      <c r="B723" s="14"/>
      <c r="C723" s="14"/>
      <c r="D723" s="14"/>
    </row>
    <row r="724" spans="1:4" x14ac:dyDescent="0.3">
      <c r="A724" t="s">
        <v>11</v>
      </c>
    </row>
    <row r="726" spans="1:4" x14ac:dyDescent="0.3">
      <c r="A726" t="s">
        <v>12</v>
      </c>
      <c r="B726" t="s">
        <v>13</v>
      </c>
    </row>
    <row r="729" spans="1:4" ht="15.6" x14ac:dyDescent="0.3">
      <c r="B729" s="4" t="s">
        <v>6</v>
      </c>
      <c r="C729" s="4"/>
    </row>
    <row r="730" spans="1:4" x14ac:dyDescent="0.3">
      <c r="A730" s="5" t="s">
        <v>7</v>
      </c>
      <c r="B730" s="5"/>
      <c r="C730" s="5"/>
      <c r="D730" s="5"/>
    </row>
    <row r="731" spans="1:4" x14ac:dyDescent="0.3">
      <c r="A731" s="5"/>
      <c r="B731" s="5" t="s">
        <v>30</v>
      </c>
      <c r="C731" s="5"/>
      <c r="D731" s="5"/>
    </row>
    <row r="732" spans="1:4" x14ac:dyDescent="0.3">
      <c r="A732" t="s">
        <v>22</v>
      </c>
      <c r="B732" t="s">
        <v>25</v>
      </c>
      <c r="C732" s="6">
        <v>70</v>
      </c>
    </row>
    <row r="735" spans="1:4" ht="28.8" x14ac:dyDescent="0.3">
      <c r="A735" s="1" t="s">
        <v>0</v>
      </c>
      <c r="B735" s="2" t="s">
        <v>1</v>
      </c>
      <c r="C735" s="2" t="s">
        <v>2</v>
      </c>
      <c r="D735" s="2" t="s">
        <v>3</v>
      </c>
    </row>
    <row r="736" spans="1:4" x14ac:dyDescent="0.3">
      <c r="A736" s="3" t="s">
        <v>4</v>
      </c>
      <c r="B736" s="1">
        <v>5225.76</v>
      </c>
      <c r="C736" s="1">
        <v>3713.29</v>
      </c>
      <c r="D736" s="1">
        <v>138100</v>
      </c>
    </row>
    <row r="737" spans="1:4" x14ac:dyDescent="0.3">
      <c r="A737" s="49" t="s">
        <v>33</v>
      </c>
      <c r="B737" s="50"/>
      <c r="C737" s="51"/>
      <c r="D737" s="1">
        <f>B736-D736</f>
        <v>-132874.23999999999</v>
      </c>
    </row>
    <row r="739" spans="1:4" ht="27.6" customHeight="1" x14ac:dyDescent="0.3">
      <c r="A739" s="3" t="s">
        <v>37</v>
      </c>
      <c r="B739" s="3"/>
      <c r="C739" s="21" t="s">
        <v>41</v>
      </c>
      <c r="D739" s="3"/>
    </row>
    <row r="740" spans="1:4" x14ac:dyDescent="0.3">
      <c r="A740" s="3" t="s">
        <v>38</v>
      </c>
      <c r="B740" s="1"/>
      <c r="C740" s="1">
        <v>0</v>
      </c>
      <c r="D740" s="1"/>
    </row>
    <row r="741" spans="1:4" x14ac:dyDescent="0.3">
      <c r="A741" s="52"/>
      <c r="B741" s="51"/>
      <c r="C741" s="1">
        <v>0</v>
      </c>
      <c r="D741" s="1"/>
    </row>
    <row r="742" spans="1:4" x14ac:dyDescent="0.3">
      <c r="A742" s="52"/>
      <c r="B742" s="51"/>
      <c r="C742" s="1">
        <v>0</v>
      </c>
      <c r="D742" s="1"/>
    </row>
    <row r="743" spans="1:4" x14ac:dyDescent="0.3">
      <c r="A743" s="3" t="s">
        <v>40</v>
      </c>
      <c r="B743" s="1"/>
      <c r="C743" s="1">
        <v>0</v>
      </c>
      <c r="D743" s="1"/>
    </row>
    <row r="744" spans="1:4" x14ac:dyDescent="0.3">
      <c r="A744" s="52" t="s">
        <v>89</v>
      </c>
      <c r="B744" s="51"/>
      <c r="C744" s="1">
        <f>18000+300</f>
        <v>18300</v>
      </c>
      <c r="D744" s="1"/>
    </row>
    <row r="745" spans="1:4" x14ac:dyDescent="0.3">
      <c r="A745" s="52" t="s">
        <v>91</v>
      </c>
      <c r="B745" s="51"/>
      <c r="C745" s="1">
        <f>24400+15000</f>
        <v>39400</v>
      </c>
      <c r="D745" s="1"/>
    </row>
    <row r="746" spans="1:4" x14ac:dyDescent="0.3">
      <c r="A746" s="61" t="s">
        <v>47</v>
      </c>
      <c r="B746" s="51"/>
      <c r="C746" s="1">
        <v>0</v>
      </c>
      <c r="D746" s="1"/>
    </row>
    <row r="747" spans="1:4" x14ac:dyDescent="0.3">
      <c r="A747" s="52" t="s">
        <v>64</v>
      </c>
      <c r="B747" s="51"/>
      <c r="C747" s="1">
        <v>200</v>
      </c>
      <c r="D747" s="1"/>
    </row>
    <row r="748" spans="1:4" x14ac:dyDescent="0.3">
      <c r="A748" s="52" t="s">
        <v>90</v>
      </c>
      <c r="B748" s="51"/>
      <c r="C748" s="1">
        <v>80200</v>
      </c>
      <c r="D748" s="1"/>
    </row>
    <row r="749" spans="1:4" x14ac:dyDescent="0.3">
      <c r="A749" s="59" t="s">
        <v>42</v>
      </c>
      <c r="B749" s="51"/>
      <c r="C749" s="3">
        <f>SUM(C740:C748)</f>
        <v>138100</v>
      </c>
      <c r="D749" s="1"/>
    </row>
    <row r="750" spans="1:4" x14ac:dyDescent="0.3">
      <c r="A750" s="14"/>
      <c r="B750" s="14"/>
      <c r="C750" s="14"/>
      <c r="D750" s="14"/>
    </row>
    <row r="751" spans="1:4" x14ac:dyDescent="0.3">
      <c r="A751" t="s">
        <v>11</v>
      </c>
    </row>
    <row r="753" spans="1:2" x14ac:dyDescent="0.3">
      <c r="A753" t="s">
        <v>12</v>
      </c>
      <c r="B753" t="s">
        <v>13</v>
      </c>
    </row>
    <row r="755" spans="1:2" x14ac:dyDescent="0.3">
      <c r="A755" t="s">
        <v>12</v>
      </c>
      <c r="B755" t="s">
        <v>13</v>
      </c>
    </row>
  </sheetData>
  <mergeCells count="265">
    <mergeCell ref="A748:B748"/>
    <mergeCell ref="A749:B749"/>
    <mergeCell ref="A84:B84"/>
    <mergeCell ref="A85:B85"/>
    <mergeCell ref="A152:B152"/>
    <mergeCell ref="A153:B153"/>
    <mergeCell ref="A148:B148"/>
    <mergeCell ref="A149:B149"/>
    <mergeCell ref="A358:B358"/>
    <mergeCell ref="A359:B359"/>
    <mergeCell ref="A742:B742"/>
    <mergeCell ref="A744:B744"/>
    <mergeCell ref="A745:B745"/>
    <mergeCell ref="A746:B746"/>
    <mergeCell ref="A747:B747"/>
    <mergeCell ref="A719:B719"/>
    <mergeCell ref="A720:B720"/>
    <mergeCell ref="A721:B721"/>
    <mergeCell ref="A722:B722"/>
    <mergeCell ref="A741:B741"/>
    <mergeCell ref="A692:B692"/>
    <mergeCell ref="A714:B714"/>
    <mergeCell ref="A715:B715"/>
    <mergeCell ref="A717:B717"/>
    <mergeCell ref="A626:B626"/>
    <mergeCell ref="A627:B627"/>
    <mergeCell ref="A632:B632"/>
    <mergeCell ref="A633:B633"/>
    <mergeCell ref="A634:B634"/>
    <mergeCell ref="A718:B718"/>
    <mergeCell ref="A687:B687"/>
    <mergeCell ref="A688:B688"/>
    <mergeCell ref="A689:B689"/>
    <mergeCell ref="A690:B690"/>
    <mergeCell ref="A691:B691"/>
    <mergeCell ref="A660:B660"/>
    <mergeCell ref="A661:B661"/>
    <mergeCell ref="A662:B662"/>
    <mergeCell ref="A684:B684"/>
    <mergeCell ref="A685:B685"/>
    <mergeCell ref="A664:B664"/>
    <mergeCell ref="A665:B665"/>
    <mergeCell ref="A666:B666"/>
    <mergeCell ref="A695:B695"/>
    <mergeCell ref="A696:B696"/>
    <mergeCell ref="A537:B537"/>
    <mergeCell ref="A538:B538"/>
    <mergeCell ref="A539:B539"/>
    <mergeCell ref="A540:B540"/>
    <mergeCell ref="A541:B541"/>
    <mergeCell ref="A510:B510"/>
    <mergeCell ref="A511:B511"/>
    <mergeCell ref="A533:B533"/>
    <mergeCell ref="A534:B534"/>
    <mergeCell ref="A536:B536"/>
    <mergeCell ref="A529:C529"/>
    <mergeCell ref="A512:B512"/>
    <mergeCell ref="A513:B513"/>
    <mergeCell ref="A504:B504"/>
    <mergeCell ref="A506:B506"/>
    <mergeCell ref="A507:B507"/>
    <mergeCell ref="A508:B508"/>
    <mergeCell ref="A509:B509"/>
    <mergeCell ref="A476:B476"/>
    <mergeCell ref="A477:B477"/>
    <mergeCell ref="A478:B478"/>
    <mergeCell ref="A479:B479"/>
    <mergeCell ref="A503:B503"/>
    <mergeCell ref="A452:B452"/>
    <mergeCell ref="A471:B471"/>
    <mergeCell ref="A472:B472"/>
    <mergeCell ref="A474:B474"/>
    <mergeCell ref="A475:B475"/>
    <mergeCell ref="A447:B447"/>
    <mergeCell ref="A448:B448"/>
    <mergeCell ref="A449:B449"/>
    <mergeCell ref="A450:B450"/>
    <mergeCell ref="A451:B451"/>
    <mergeCell ref="A419:B419"/>
    <mergeCell ref="A420:B420"/>
    <mergeCell ref="A421:B421"/>
    <mergeCell ref="A444:B444"/>
    <mergeCell ref="A445:B445"/>
    <mergeCell ref="A413:B413"/>
    <mergeCell ref="A414:B414"/>
    <mergeCell ref="A416:B416"/>
    <mergeCell ref="A417:B417"/>
    <mergeCell ref="A418:B418"/>
    <mergeCell ref="A386:B386"/>
    <mergeCell ref="A387:B387"/>
    <mergeCell ref="A388:B388"/>
    <mergeCell ref="A389:B389"/>
    <mergeCell ref="A360:B360"/>
    <mergeCell ref="A361:B361"/>
    <mergeCell ref="A381:B381"/>
    <mergeCell ref="A382:B382"/>
    <mergeCell ref="A384:B384"/>
    <mergeCell ref="A355:B355"/>
    <mergeCell ref="A356:B356"/>
    <mergeCell ref="A357:B357"/>
    <mergeCell ref="A328:B328"/>
    <mergeCell ref="A329:B329"/>
    <mergeCell ref="A330:B330"/>
    <mergeCell ref="A331:B331"/>
    <mergeCell ref="A351:B351"/>
    <mergeCell ref="A385:B385"/>
    <mergeCell ref="A326:B326"/>
    <mergeCell ref="A327:B327"/>
    <mergeCell ref="A298:B298"/>
    <mergeCell ref="A299:B299"/>
    <mergeCell ref="A300:B300"/>
    <mergeCell ref="A301:B301"/>
    <mergeCell ref="A302:B302"/>
    <mergeCell ref="A352:B352"/>
    <mergeCell ref="A354:B354"/>
    <mergeCell ref="A242:B242"/>
    <mergeCell ref="A243:B243"/>
    <mergeCell ref="A244:B244"/>
    <mergeCell ref="A245:B245"/>
    <mergeCell ref="A246:B246"/>
    <mergeCell ref="A216:B216"/>
    <mergeCell ref="A217:B217"/>
    <mergeCell ref="A238:B238"/>
    <mergeCell ref="A239:B239"/>
    <mergeCell ref="A241:B241"/>
    <mergeCell ref="A234:C234"/>
    <mergeCell ref="A182:B182"/>
    <mergeCell ref="A183:B183"/>
    <mergeCell ref="A184:B184"/>
    <mergeCell ref="A209:B209"/>
    <mergeCell ref="A210:B210"/>
    <mergeCell ref="A176:B176"/>
    <mergeCell ref="A177:B177"/>
    <mergeCell ref="A179:B179"/>
    <mergeCell ref="A180:B180"/>
    <mergeCell ref="A181:B181"/>
    <mergeCell ref="A205:C205"/>
    <mergeCell ref="A150:B150"/>
    <mergeCell ref="A151:B151"/>
    <mergeCell ref="A154:B154"/>
    <mergeCell ref="A155:B155"/>
    <mergeCell ref="A156:B156"/>
    <mergeCell ref="A119:B119"/>
    <mergeCell ref="A120:B120"/>
    <mergeCell ref="A144:B144"/>
    <mergeCell ref="A145:B145"/>
    <mergeCell ref="A147:B147"/>
    <mergeCell ref="A53:B53"/>
    <mergeCell ref="A54:B54"/>
    <mergeCell ref="A113:B113"/>
    <mergeCell ref="A115:B115"/>
    <mergeCell ref="A116:B116"/>
    <mergeCell ref="A117:B117"/>
    <mergeCell ref="A118:B118"/>
    <mergeCell ref="A83:B83"/>
    <mergeCell ref="A86:B86"/>
    <mergeCell ref="A87:B87"/>
    <mergeCell ref="A88:B88"/>
    <mergeCell ref="A112:B112"/>
    <mergeCell ref="A172:C172"/>
    <mergeCell ref="A12:C12"/>
    <mergeCell ref="A43:C43"/>
    <mergeCell ref="A74:C74"/>
    <mergeCell ref="A108:C108"/>
    <mergeCell ref="A140:C140"/>
    <mergeCell ref="A16:B16"/>
    <mergeCell ref="A17:B17"/>
    <mergeCell ref="A19:B19"/>
    <mergeCell ref="A20:B20"/>
    <mergeCell ref="A22:B22"/>
    <mergeCell ref="A23:B23"/>
    <mergeCell ref="A21:B21"/>
    <mergeCell ref="A24:B24"/>
    <mergeCell ref="A47:B47"/>
    <mergeCell ref="A48:B48"/>
    <mergeCell ref="A55:B55"/>
    <mergeCell ref="A78:B78"/>
    <mergeCell ref="A79:B79"/>
    <mergeCell ref="A81:B81"/>
    <mergeCell ref="A82:B82"/>
    <mergeCell ref="A50:B50"/>
    <mergeCell ref="A51:B51"/>
    <mergeCell ref="A52:B52"/>
    <mergeCell ref="A263:C263"/>
    <mergeCell ref="A291:C291"/>
    <mergeCell ref="A319:C319"/>
    <mergeCell ref="A347:C347"/>
    <mergeCell ref="A377:C377"/>
    <mergeCell ref="A409:C409"/>
    <mergeCell ref="A440:C440"/>
    <mergeCell ref="A467:C467"/>
    <mergeCell ref="A499:C499"/>
    <mergeCell ref="A480:B480"/>
    <mergeCell ref="A481:B481"/>
    <mergeCell ref="A273:B273"/>
    <mergeCell ref="A274:B274"/>
    <mergeCell ref="A275:B275"/>
    <mergeCell ref="A295:B295"/>
    <mergeCell ref="A296:B296"/>
    <mergeCell ref="A267:B267"/>
    <mergeCell ref="A268:B268"/>
    <mergeCell ref="A270:B270"/>
    <mergeCell ref="A271:B271"/>
    <mergeCell ref="A272:B272"/>
    <mergeCell ref="A303:B303"/>
    <mergeCell ref="A323:B323"/>
    <mergeCell ref="A324:B324"/>
    <mergeCell ref="A212:B212"/>
    <mergeCell ref="A213:B213"/>
    <mergeCell ref="A214:B214"/>
    <mergeCell ref="A215:B215"/>
    <mergeCell ref="A737:C737"/>
    <mergeCell ref="A558:C558"/>
    <mergeCell ref="A590:C590"/>
    <mergeCell ref="A618:C618"/>
    <mergeCell ref="A650:C650"/>
    <mergeCell ref="A680:C680"/>
    <mergeCell ref="A710:C710"/>
    <mergeCell ref="A562:B562"/>
    <mergeCell ref="A563:B563"/>
    <mergeCell ref="A565:B565"/>
    <mergeCell ref="A566:B566"/>
    <mergeCell ref="A567:B567"/>
    <mergeCell ref="A568:B568"/>
    <mergeCell ref="A569:B569"/>
    <mergeCell ref="A574:B574"/>
    <mergeCell ref="A594:B594"/>
    <mergeCell ref="A390:B390"/>
    <mergeCell ref="A391:B391"/>
    <mergeCell ref="A422:B422"/>
    <mergeCell ref="A423:B423"/>
    <mergeCell ref="A570:B570"/>
    <mergeCell ref="A571:B571"/>
    <mergeCell ref="A572:B572"/>
    <mergeCell ref="A573:B573"/>
    <mergeCell ref="A628:B628"/>
    <mergeCell ref="A629:B629"/>
    <mergeCell ref="A630:B630"/>
    <mergeCell ref="A631:B631"/>
    <mergeCell ref="A663:B663"/>
    <mergeCell ref="A601:B601"/>
    <mergeCell ref="A602:B602"/>
    <mergeCell ref="A622:B622"/>
    <mergeCell ref="A623:B623"/>
    <mergeCell ref="A625:B625"/>
    <mergeCell ref="A595:B595"/>
    <mergeCell ref="A597:B597"/>
    <mergeCell ref="A598:B598"/>
    <mergeCell ref="A599:B599"/>
    <mergeCell ref="A600:B600"/>
    <mergeCell ref="A654:B654"/>
    <mergeCell ref="A655:B655"/>
    <mergeCell ref="A657:B657"/>
    <mergeCell ref="A658:B658"/>
    <mergeCell ref="A659:B659"/>
    <mergeCell ref="F687:G687"/>
    <mergeCell ref="F688:G688"/>
    <mergeCell ref="F689:G689"/>
    <mergeCell ref="F690:G690"/>
    <mergeCell ref="F691:G691"/>
    <mergeCell ref="F692:G692"/>
    <mergeCell ref="F693:G693"/>
    <mergeCell ref="F694:G694"/>
    <mergeCell ref="A693:B693"/>
    <mergeCell ref="A694:B694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1"/>
  <sheetViews>
    <sheetView topLeftCell="A339" workbookViewId="0">
      <selection activeCell="B343" sqref="B343:F372"/>
    </sheetView>
  </sheetViews>
  <sheetFormatPr defaultRowHeight="14.4" x14ac:dyDescent="0.3"/>
  <cols>
    <col min="2" max="2" width="22.33203125" customWidth="1"/>
    <col min="3" max="3" width="16.5546875" customWidth="1"/>
    <col min="4" max="4" width="15" customWidth="1"/>
  </cols>
  <sheetData>
    <row r="3" spans="2:5" ht="15.6" x14ac:dyDescent="0.3">
      <c r="C3" s="4" t="s">
        <v>5</v>
      </c>
      <c r="D3" s="4"/>
    </row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34</v>
      </c>
      <c r="D6" s="5"/>
      <c r="E6" s="5"/>
    </row>
    <row r="7" spans="2:5" x14ac:dyDescent="0.3">
      <c r="B7" t="s">
        <v>8</v>
      </c>
      <c r="C7" t="s">
        <v>25</v>
      </c>
      <c r="D7" s="6" t="s">
        <v>24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v>23199</v>
      </c>
      <c r="D11" s="1">
        <v>23106.48</v>
      </c>
      <c r="E11" s="1">
        <v>4400</v>
      </c>
    </row>
    <row r="12" spans="2:5" x14ac:dyDescent="0.3">
      <c r="B12" s="49" t="s">
        <v>31</v>
      </c>
      <c r="C12" s="50"/>
      <c r="D12" s="51"/>
      <c r="E12" s="1">
        <f>C11-E11</f>
        <v>18799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x14ac:dyDescent="0.3">
      <c r="B15" s="52" t="s">
        <v>39</v>
      </c>
      <c r="C15" s="51"/>
      <c r="D15" s="1">
        <f>2200+2200</f>
        <v>4400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3" t="s">
        <v>40</v>
      </c>
      <c r="C17" s="1"/>
      <c r="D17" s="1">
        <v>0</v>
      </c>
      <c r="E17" s="1"/>
    </row>
    <row r="18" spans="2:5" x14ac:dyDescent="0.3">
      <c r="B18" s="52"/>
      <c r="C18" s="51"/>
      <c r="D18" s="1"/>
      <c r="E18" s="1"/>
    </row>
    <row r="19" spans="2:5" x14ac:dyDescent="0.3">
      <c r="B19" s="52"/>
      <c r="C19" s="51"/>
      <c r="D19" s="1"/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x14ac:dyDescent="0.3">
      <c r="B21" s="52"/>
      <c r="C21" s="51"/>
      <c r="D21" s="1"/>
      <c r="E21" s="1"/>
    </row>
    <row r="22" spans="2:5" x14ac:dyDescent="0.3">
      <c r="B22" s="52"/>
      <c r="C22" s="51"/>
      <c r="D22" s="1"/>
      <c r="E22" s="1"/>
    </row>
    <row r="23" spans="2:5" x14ac:dyDescent="0.3">
      <c r="B23" s="56" t="s">
        <v>52</v>
      </c>
      <c r="C23" s="57"/>
      <c r="D23" s="1">
        <v>0</v>
      </c>
      <c r="E23" s="1"/>
    </row>
    <row r="24" spans="2:5" x14ac:dyDescent="0.3">
      <c r="B24" s="52"/>
      <c r="C24" s="51"/>
      <c r="D24" s="1"/>
      <c r="E24" s="1"/>
    </row>
    <row r="25" spans="2:5" x14ac:dyDescent="0.3">
      <c r="B25" s="59" t="s">
        <v>42</v>
      </c>
      <c r="C25" s="51"/>
      <c r="D25" s="3">
        <f>SUM(D14:D24)</f>
        <v>4400</v>
      </c>
      <c r="E25" s="1"/>
    </row>
    <row r="26" spans="2:5" x14ac:dyDescent="0.3">
      <c r="B26" s="14"/>
      <c r="C26" s="14"/>
      <c r="D26" s="14"/>
      <c r="E26" s="14"/>
    </row>
    <row r="27" spans="2:5" x14ac:dyDescent="0.3">
      <c r="B27" t="s">
        <v>11</v>
      </c>
    </row>
    <row r="28" spans="2:5" x14ac:dyDescent="0.3">
      <c r="B28" t="s">
        <v>12</v>
      </c>
      <c r="C28" t="s">
        <v>13</v>
      </c>
    </row>
    <row r="30" spans="2:5" ht="15.6" x14ac:dyDescent="0.3">
      <c r="C30" s="4" t="s">
        <v>6</v>
      </c>
      <c r="D30" s="4"/>
    </row>
    <row r="31" spans="2:5" x14ac:dyDescent="0.3">
      <c r="B31" s="5" t="s">
        <v>7</v>
      </c>
      <c r="C31" s="5"/>
      <c r="D31" s="5"/>
      <c r="E31" s="5"/>
    </row>
    <row r="32" spans="2:5" x14ac:dyDescent="0.3">
      <c r="B32" s="5"/>
      <c r="C32" s="5" t="s">
        <v>34</v>
      </c>
      <c r="D32" s="5"/>
      <c r="E32" s="5"/>
    </row>
    <row r="33" spans="2:5" x14ac:dyDescent="0.3">
      <c r="B33" t="s">
        <v>8</v>
      </c>
      <c r="C33" t="s">
        <v>25</v>
      </c>
      <c r="D33" s="6">
        <v>2</v>
      </c>
    </row>
    <row r="36" spans="2:5" ht="28.8" x14ac:dyDescent="0.3">
      <c r="B36" s="1" t="s">
        <v>0</v>
      </c>
      <c r="C36" s="2" t="s">
        <v>1</v>
      </c>
      <c r="D36" s="2" t="s">
        <v>2</v>
      </c>
      <c r="E36" s="2" t="s">
        <v>3</v>
      </c>
    </row>
    <row r="37" spans="2:5" x14ac:dyDescent="0.3">
      <c r="B37" s="3" t="s">
        <v>4</v>
      </c>
      <c r="C37" s="1">
        <v>22581.18</v>
      </c>
      <c r="D37" s="1">
        <v>20520.349999999999</v>
      </c>
      <c r="E37" s="1">
        <v>15000</v>
      </c>
    </row>
    <row r="38" spans="2:5" x14ac:dyDescent="0.3">
      <c r="B38" s="49" t="s">
        <v>10</v>
      </c>
      <c r="C38" s="50"/>
      <c r="D38" s="51"/>
      <c r="E38" s="1">
        <f>C37-E37</f>
        <v>7581.18</v>
      </c>
    </row>
    <row r="40" spans="2:5" ht="28.8" x14ac:dyDescent="0.3">
      <c r="B40" s="60" t="s">
        <v>37</v>
      </c>
      <c r="C40" s="51"/>
      <c r="D40" s="21" t="s">
        <v>41</v>
      </c>
      <c r="E40" s="3"/>
    </row>
    <row r="41" spans="2:5" x14ac:dyDescent="0.3">
      <c r="B41" s="60" t="s">
        <v>38</v>
      </c>
      <c r="C41" s="51"/>
      <c r="D41" s="1">
        <v>0</v>
      </c>
      <c r="E41" s="1"/>
    </row>
    <row r="42" spans="2:5" x14ac:dyDescent="0.3">
      <c r="B42" s="52"/>
      <c r="C42" s="51"/>
      <c r="D42" s="1"/>
      <c r="E42" s="1"/>
    </row>
    <row r="43" spans="2:5" x14ac:dyDescent="0.3">
      <c r="B43" s="52"/>
      <c r="C43" s="51"/>
      <c r="D43" s="1">
        <v>0</v>
      </c>
      <c r="E43" s="1"/>
    </row>
    <row r="44" spans="2:5" x14ac:dyDescent="0.3">
      <c r="B44" s="3" t="s">
        <v>40</v>
      </c>
      <c r="C44" s="1"/>
      <c r="D44" s="1">
        <v>0</v>
      </c>
      <c r="E44" s="1"/>
    </row>
    <row r="45" spans="2:5" x14ac:dyDescent="0.3">
      <c r="B45" s="52" t="s">
        <v>92</v>
      </c>
      <c r="C45" s="51"/>
      <c r="D45" s="1">
        <v>15000</v>
      </c>
      <c r="E45" s="1"/>
    </row>
    <row r="46" spans="2:5" x14ac:dyDescent="0.3">
      <c r="B46" s="52"/>
      <c r="C46" s="51"/>
      <c r="D46" s="1"/>
      <c r="E46" s="1"/>
    </row>
    <row r="47" spans="2:5" ht="14.4" customHeight="1" x14ac:dyDescent="0.3">
      <c r="B47" s="61" t="s">
        <v>47</v>
      </c>
      <c r="C47" s="51"/>
      <c r="D47" s="1">
        <v>0</v>
      </c>
      <c r="E47" s="1"/>
    </row>
    <row r="48" spans="2:5" x14ac:dyDescent="0.3">
      <c r="B48" s="52"/>
      <c r="C48" s="51"/>
      <c r="D48" s="1"/>
      <c r="E48" s="1"/>
    </row>
    <row r="49" spans="2:5" x14ac:dyDescent="0.3">
      <c r="B49" s="52"/>
      <c r="C49" s="51"/>
      <c r="D49" s="1"/>
      <c r="E49" s="1"/>
    </row>
    <row r="50" spans="2:5" x14ac:dyDescent="0.3">
      <c r="B50" s="56" t="s">
        <v>52</v>
      </c>
      <c r="C50" s="57"/>
      <c r="D50" s="1">
        <v>0</v>
      </c>
      <c r="E50" s="1"/>
    </row>
    <row r="51" spans="2:5" x14ac:dyDescent="0.3">
      <c r="B51" s="52"/>
      <c r="C51" s="51"/>
      <c r="D51" s="1"/>
      <c r="E51" s="1"/>
    </row>
    <row r="52" spans="2:5" x14ac:dyDescent="0.3">
      <c r="B52" s="59" t="s">
        <v>42</v>
      </c>
      <c r="C52" s="51"/>
      <c r="D52" s="3">
        <f>SUM(D41:D51)</f>
        <v>15000</v>
      </c>
      <c r="E52" s="1"/>
    </row>
    <row r="53" spans="2:5" x14ac:dyDescent="0.3">
      <c r="B53" s="14"/>
      <c r="C53" s="14"/>
      <c r="D53" s="14"/>
      <c r="E53" s="14"/>
    </row>
    <row r="54" spans="2:5" x14ac:dyDescent="0.3">
      <c r="B54" t="s">
        <v>11</v>
      </c>
    </row>
    <row r="55" spans="2:5" x14ac:dyDescent="0.3">
      <c r="B55" t="s">
        <v>12</v>
      </c>
      <c r="C55" t="s">
        <v>13</v>
      </c>
    </row>
    <row r="56" spans="2:5" ht="15.6" x14ac:dyDescent="0.3">
      <c r="C56" s="4" t="s">
        <v>6</v>
      </c>
      <c r="D56" s="4"/>
    </row>
    <row r="57" spans="2:5" x14ac:dyDescent="0.3">
      <c r="B57" s="5" t="s">
        <v>7</v>
      </c>
      <c r="C57" s="5"/>
      <c r="D57" s="5"/>
      <c r="E57" s="5"/>
    </row>
    <row r="58" spans="2:5" x14ac:dyDescent="0.3">
      <c r="B58" s="5"/>
      <c r="C58" s="5" t="s">
        <v>34</v>
      </c>
      <c r="D58" s="5"/>
      <c r="E58" s="5"/>
    </row>
    <row r="59" spans="2:5" x14ac:dyDescent="0.3">
      <c r="B59" t="s">
        <v>8</v>
      </c>
      <c r="C59" t="s">
        <v>25</v>
      </c>
      <c r="D59" s="6">
        <v>3</v>
      </c>
    </row>
    <row r="62" spans="2:5" ht="28.8" x14ac:dyDescent="0.3">
      <c r="B62" s="1" t="s">
        <v>0</v>
      </c>
      <c r="C62" s="2" t="s">
        <v>1</v>
      </c>
      <c r="D62" s="2" t="s">
        <v>2</v>
      </c>
      <c r="E62" s="2" t="s">
        <v>3</v>
      </c>
    </row>
    <row r="63" spans="2:5" x14ac:dyDescent="0.3">
      <c r="B63" s="3" t="s">
        <v>4</v>
      </c>
      <c r="C63" s="1">
        <v>17610.18</v>
      </c>
      <c r="D63" s="1">
        <v>15435.1</v>
      </c>
      <c r="E63" s="1">
        <v>19600</v>
      </c>
    </row>
    <row r="64" spans="2:5" x14ac:dyDescent="0.3">
      <c r="B64" s="49" t="s">
        <v>32</v>
      </c>
      <c r="C64" s="50"/>
      <c r="D64" s="51"/>
      <c r="E64" s="1">
        <f>C63-E63</f>
        <v>-1989.8199999999997</v>
      </c>
    </row>
    <row r="66" spans="2:5" ht="28.8" x14ac:dyDescent="0.3">
      <c r="B66" s="60" t="s">
        <v>37</v>
      </c>
      <c r="C66" s="51"/>
      <c r="D66" s="21" t="s">
        <v>41</v>
      </c>
      <c r="E66" s="3"/>
    </row>
    <row r="67" spans="2:5" x14ac:dyDescent="0.3">
      <c r="B67" s="60" t="s">
        <v>38</v>
      </c>
      <c r="C67" s="51"/>
      <c r="D67" s="1">
        <v>0</v>
      </c>
      <c r="E67" s="1"/>
    </row>
    <row r="68" spans="2:5" x14ac:dyDescent="0.3">
      <c r="B68" s="52" t="s">
        <v>58</v>
      </c>
      <c r="C68" s="62"/>
      <c r="D68" s="1">
        <f>1200+600</f>
        <v>1800</v>
      </c>
      <c r="E68" s="1"/>
    </row>
    <row r="69" spans="2:5" x14ac:dyDescent="0.3">
      <c r="B69" s="52" t="s">
        <v>39</v>
      </c>
      <c r="C69" s="62"/>
      <c r="D69" s="1">
        <v>300</v>
      </c>
      <c r="E69" s="1"/>
    </row>
    <row r="70" spans="2:5" x14ac:dyDescent="0.3">
      <c r="B70" s="3" t="s">
        <v>40</v>
      </c>
      <c r="C70" s="1"/>
      <c r="D70" s="1">
        <v>0</v>
      </c>
      <c r="E70" s="1"/>
    </row>
    <row r="71" spans="2:5" x14ac:dyDescent="0.3">
      <c r="B71" s="52" t="s">
        <v>93</v>
      </c>
      <c r="C71" s="51"/>
      <c r="D71" s="1">
        <v>3300</v>
      </c>
      <c r="E71" s="1"/>
    </row>
    <row r="72" spans="2:5" x14ac:dyDescent="0.3">
      <c r="B72" s="52" t="s">
        <v>94</v>
      </c>
      <c r="C72" s="51"/>
      <c r="D72" s="1">
        <v>13900</v>
      </c>
      <c r="E72" s="1"/>
    </row>
    <row r="73" spans="2:5" x14ac:dyDescent="0.3">
      <c r="B73" s="52" t="s">
        <v>56</v>
      </c>
      <c r="C73" s="51"/>
      <c r="D73" s="1">
        <v>300</v>
      </c>
      <c r="E73" s="1"/>
    </row>
    <row r="74" spans="2:5" ht="14.4" customHeight="1" x14ac:dyDescent="0.3">
      <c r="B74" s="61" t="s">
        <v>47</v>
      </c>
      <c r="C74" s="51"/>
      <c r="D74" s="1">
        <v>0</v>
      </c>
      <c r="E74" s="1"/>
    </row>
    <row r="75" spans="2:5" ht="14.4" customHeight="1" x14ac:dyDescent="0.3">
      <c r="D75" s="1"/>
      <c r="E75" s="1"/>
    </row>
    <row r="76" spans="2:5" ht="14.4" customHeight="1" x14ac:dyDescent="0.3">
      <c r="B76" s="56" t="s">
        <v>52</v>
      </c>
      <c r="C76" s="57"/>
      <c r="D76" s="1">
        <v>0</v>
      </c>
      <c r="E76" s="1"/>
    </row>
    <row r="77" spans="2:5" ht="14.4" customHeight="1" x14ac:dyDescent="0.3">
      <c r="B77" s="52"/>
      <c r="C77" s="51"/>
      <c r="D77" s="1"/>
      <c r="E77" s="1"/>
    </row>
    <row r="78" spans="2:5" x14ac:dyDescent="0.3">
      <c r="B78" s="59" t="s">
        <v>42</v>
      </c>
      <c r="C78" s="51"/>
      <c r="D78" s="3">
        <f>SUM(D67:D77)</f>
        <v>19600</v>
      </c>
      <c r="E78" s="1"/>
    </row>
    <row r="79" spans="2:5" x14ac:dyDescent="0.3">
      <c r="B79" s="14"/>
      <c r="C79" s="14"/>
      <c r="D79" s="14"/>
      <c r="E79" s="14"/>
    </row>
    <row r="80" spans="2:5" x14ac:dyDescent="0.3">
      <c r="B80" t="s">
        <v>11</v>
      </c>
    </row>
    <row r="81" spans="2:5" x14ac:dyDescent="0.3">
      <c r="B81" t="s">
        <v>12</v>
      </c>
      <c r="C81" t="s">
        <v>13</v>
      </c>
    </row>
    <row r="85" spans="2:5" ht="15.6" x14ac:dyDescent="0.3">
      <c r="C85" s="4" t="s">
        <v>5</v>
      </c>
      <c r="D85" s="4"/>
    </row>
    <row r="86" spans="2:5" ht="15.6" x14ac:dyDescent="0.3">
      <c r="C86" s="4" t="s">
        <v>6</v>
      </c>
      <c r="D86" s="4"/>
    </row>
    <row r="87" spans="2:5" x14ac:dyDescent="0.3">
      <c r="B87" s="5" t="s">
        <v>7</v>
      </c>
      <c r="C87" s="5"/>
      <c r="D87" s="5"/>
      <c r="E87" s="5"/>
    </row>
    <row r="88" spans="2:5" x14ac:dyDescent="0.3">
      <c r="B88" s="5"/>
      <c r="C88" s="5" t="s">
        <v>34</v>
      </c>
      <c r="D88" s="5"/>
      <c r="E88" s="5"/>
    </row>
    <row r="89" spans="2:5" x14ac:dyDescent="0.3">
      <c r="B89" t="s">
        <v>8</v>
      </c>
      <c r="C89" t="s">
        <v>25</v>
      </c>
      <c r="D89" s="6">
        <v>4</v>
      </c>
    </row>
    <row r="92" spans="2:5" ht="28.8" x14ac:dyDescent="0.3">
      <c r="B92" s="1" t="s">
        <v>0</v>
      </c>
      <c r="C92" s="2" t="s">
        <v>1</v>
      </c>
      <c r="D92" s="2" t="s">
        <v>2</v>
      </c>
      <c r="E92" s="2" t="s">
        <v>3</v>
      </c>
    </row>
    <row r="93" spans="2:5" x14ac:dyDescent="0.3">
      <c r="B93" s="3" t="s">
        <v>4</v>
      </c>
      <c r="C93" s="1">
        <v>38203.379999999997</v>
      </c>
      <c r="D93" s="1">
        <v>37300.99</v>
      </c>
      <c r="E93" s="1">
        <v>3600</v>
      </c>
    </row>
    <row r="94" spans="2:5" x14ac:dyDescent="0.3">
      <c r="B94" s="49" t="s">
        <v>10</v>
      </c>
      <c r="C94" s="50"/>
      <c r="D94" s="51"/>
      <c r="E94" s="1">
        <f>C93-E93</f>
        <v>34603.379999999997</v>
      </c>
    </row>
    <row r="96" spans="2:5" ht="28.8" x14ac:dyDescent="0.3">
      <c r="B96" s="60" t="s">
        <v>37</v>
      </c>
      <c r="C96" s="51"/>
      <c r="D96" s="21" t="s">
        <v>41</v>
      </c>
      <c r="E96" s="3"/>
    </row>
    <row r="97" spans="2:5" x14ac:dyDescent="0.3">
      <c r="B97" s="60" t="s">
        <v>38</v>
      </c>
      <c r="C97" s="51"/>
      <c r="D97" s="1">
        <v>0</v>
      </c>
      <c r="E97" s="1"/>
    </row>
    <row r="98" spans="2:5" x14ac:dyDescent="0.3">
      <c r="B98" s="52"/>
      <c r="C98" s="51"/>
      <c r="D98" s="1"/>
      <c r="E98" s="1"/>
    </row>
    <row r="99" spans="2:5" x14ac:dyDescent="0.3">
      <c r="B99" s="52"/>
      <c r="C99" s="51"/>
      <c r="D99" s="1">
        <v>0</v>
      </c>
      <c r="E99" s="1"/>
    </row>
    <row r="100" spans="2:5" x14ac:dyDescent="0.3">
      <c r="B100" s="3" t="s">
        <v>40</v>
      </c>
      <c r="C100" s="1"/>
      <c r="D100" s="1">
        <v>0</v>
      </c>
      <c r="E100" s="1"/>
    </row>
    <row r="101" spans="2:5" x14ac:dyDescent="0.3">
      <c r="B101" s="52" t="s">
        <v>93</v>
      </c>
      <c r="C101" s="51"/>
      <c r="D101" s="1">
        <v>500</v>
      </c>
      <c r="E101" s="1"/>
    </row>
    <row r="102" spans="2:5" x14ac:dyDescent="0.3">
      <c r="B102" s="52" t="s">
        <v>58</v>
      </c>
      <c r="C102" s="51"/>
      <c r="D102" s="1">
        <v>800</v>
      </c>
      <c r="E102" s="1"/>
    </row>
    <row r="103" spans="2:5" ht="14.4" customHeight="1" x14ac:dyDescent="0.3">
      <c r="B103" s="61" t="s">
        <v>47</v>
      </c>
      <c r="C103" s="51"/>
      <c r="D103" s="1">
        <v>0</v>
      </c>
      <c r="E103" s="1"/>
    </row>
    <row r="104" spans="2:5" x14ac:dyDescent="0.3">
      <c r="B104" s="52" t="s">
        <v>95</v>
      </c>
      <c r="C104" s="51"/>
      <c r="D104" s="1">
        <v>1300</v>
      </c>
      <c r="E104" s="1"/>
    </row>
    <row r="105" spans="2:5" x14ac:dyDescent="0.3">
      <c r="B105" s="52" t="s">
        <v>96</v>
      </c>
      <c r="C105" s="51"/>
      <c r="D105" s="1">
        <f>300+500</f>
        <v>800</v>
      </c>
      <c r="E105" s="1"/>
    </row>
    <row r="106" spans="2:5" x14ac:dyDescent="0.3">
      <c r="B106" s="56" t="s">
        <v>52</v>
      </c>
      <c r="C106" s="57"/>
      <c r="D106" s="1">
        <v>0</v>
      </c>
      <c r="E106" s="1"/>
    </row>
    <row r="107" spans="2:5" x14ac:dyDescent="0.3">
      <c r="B107" s="52" t="s">
        <v>53</v>
      </c>
      <c r="C107" s="51"/>
      <c r="D107" s="1">
        <v>200</v>
      </c>
      <c r="E107" s="1"/>
    </row>
    <row r="108" spans="2:5" x14ac:dyDescent="0.3">
      <c r="B108" s="59" t="s">
        <v>42</v>
      </c>
      <c r="C108" s="51"/>
      <c r="D108" s="3">
        <f>SUM(D97:D107)</f>
        <v>3600</v>
      </c>
      <c r="E108" s="1"/>
    </row>
    <row r="109" spans="2:5" x14ac:dyDescent="0.3">
      <c r="B109" s="14"/>
      <c r="C109" s="14"/>
      <c r="D109" s="14"/>
      <c r="E109" s="14"/>
    </row>
    <row r="110" spans="2:5" x14ac:dyDescent="0.3">
      <c r="B110" t="s">
        <v>11</v>
      </c>
    </row>
    <row r="111" spans="2:5" x14ac:dyDescent="0.3">
      <c r="B111" t="s">
        <v>12</v>
      </c>
      <c r="C111" t="s">
        <v>13</v>
      </c>
    </row>
    <row r="112" spans="2:5" ht="15.6" x14ac:dyDescent="0.3">
      <c r="C112" s="4" t="s">
        <v>5</v>
      </c>
      <c r="D112" s="4"/>
    </row>
    <row r="113" spans="2:5" ht="15.6" x14ac:dyDescent="0.3">
      <c r="C113" s="4" t="s">
        <v>6</v>
      </c>
      <c r="D113" s="4"/>
    </row>
    <row r="114" spans="2:5" x14ac:dyDescent="0.3">
      <c r="B114" s="5" t="s">
        <v>7</v>
      </c>
      <c r="C114" s="5"/>
      <c r="D114" s="5"/>
      <c r="E114" s="5"/>
    </row>
    <row r="115" spans="2:5" x14ac:dyDescent="0.3">
      <c r="B115" s="5"/>
      <c r="C115" s="5" t="s">
        <v>34</v>
      </c>
      <c r="D115" s="5"/>
      <c r="E115" s="5"/>
    </row>
    <row r="116" spans="2:5" x14ac:dyDescent="0.3">
      <c r="B116" t="s">
        <v>8</v>
      </c>
      <c r="C116" t="s">
        <v>25</v>
      </c>
      <c r="D116" s="6">
        <v>5</v>
      </c>
    </row>
    <row r="119" spans="2:5" ht="28.8" x14ac:dyDescent="0.3">
      <c r="B119" s="1" t="s">
        <v>0</v>
      </c>
      <c r="C119" s="2" t="s">
        <v>1</v>
      </c>
      <c r="D119" s="2" t="s">
        <v>2</v>
      </c>
      <c r="E119" s="2" t="s">
        <v>3</v>
      </c>
    </row>
    <row r="120" spans="2:5" x14ac:dyDescent="0.3">
      <c r="B120" s="3" t="s">
        <v>4</v>
      </c>
      <c r="C120" s="1">
        <v>29946.54</v>
      </c>
      <c r="D120" s="1">
        <v>30381.63</v>
      </c>
      <c r="E120" s="1">
        <v>142100</v>
      </c>
    </row>
    <row r="121" spans="2:5" x14ac:dyDescent="0.3">
      <c r="B121" s="49" t="s">
        <v>32</v>
      </c>
      <c r="C121" s="50"/>
      <c r="D121" s="51"/>
      <c r="E121" s="1">
        <f>C120-E120</f>
        <v>-112153.45999999999</v>
      </c>
    </row>
    <row r="123" spans="2:5" ht="28.8" x14ac:dyDescent="0.3">
      <c r="B123" s="60" t="s">
        <v>37</v>
      </c>
      <c r="C123" s="51"/>
      <c r="D123" s="21" t="s">
        <v>41</v>
      </c>
      <c r="E123" s="3"/>
    </row>
    <row r="124" spans="2:5" x14ac:dyDescent="0.3">
      <c r="B124" s="60" t="s">
        <v>38</v>
      </c>
      <c r="C124" s="51"/>
      <c r="D124" s="1">
        <v>0</v>
      </c>
      <c r="E124" s="1"/>
    </row>
    <row r="125" spans="2:5" x14ac:dyDescent="0.3">
      <c r="B125" s="52" t="s">
        <v>99</v>
      </c>
      <c r="C125" s="51"/>
      <c r="D125" s="1">
        <v>3600</v>
      </c>
      <c r="E125" s="1"/>
    </row>
    <row r="126" spans="2:5" x14ac:dyDescent="0.3">
      <c r="B126" s="52"/>
      <c r="C126" s="51"/>
      <c r="D126" s="1">
        <v>0</v>
      </c>
      <c r="E126" s="1"/>
    </row>
    <row r="127" spans="2:5" x14ac:dyDescent="0.3">
      <c r="B127" s="3" t="s">
        <v>40</v>
      </c>
      <c r="C127" s="1"/>
      <c r="D127" s="1">
        <v>0</v>
      </c>
      <c r="E127" s="1"/>
    </row>
    <row r="128" spans="2:5" x14ac:dyDescent="0.3">
      <c r="B128" s="52" t="s">
        <v>58</v>
      </c>
      <c r="C128" s="51"/>
      <c r="D128" s="1">
        <f>1800+400</f>
        <v>2200</v>
      </c>
      <c r="E128" s="1"/>
    </row>
    <row r="129" spans="2:5" x14ac:dyDescent="0.3">
      <c r="B129" s="52" t="s">
        <v>97</v>
      </c>
      <c r="C129" s="51"/>
      <c r="D129" s="1">
        <v>14700</v>
      </c>
      <c r="E129" s="1"/>
    </row>
    <row r="130" spans="2:5" x14ac:dyDescent="0.3">
      <c r="B130" s="52" t="s">
        <v>51</v>
      </c>
      <c r="C130" s="51"/>
      <c r="D130" s="1">
        <f>700+300</f>
        <v>1000</v>
      </c>
      <c r="E130" s="1"/>
    </row>
    <row r="131" spans="2:5" x14ac:dyDescent="0.3">
      <c r="B131" s="52" t="s">
        <v>94</v>
      </c>
      <c r="C131" s="51"/>
      <c r="D131" s="1">
        <v>38100</v>
      </c>
      <c r="E131" s="1"/>
    </row>
    <row r="132" spans="2:5" x14ac:dyDescent="0.3">
      <c r="B132" s="52" t="s">
        <v>98</v>
      </c>
      <c r="C132" s="51"/>
      <c r="D132" s="1">
        <f>72800+7200</f>
        <v>80000</v>
      </c>
      <c r="E132" s="1"/>
    </row>
    <row r="133" spans="2:5" x14ac:dyDescent="0.3">
      <c r="B133" s="66" t="s">
        <v>56</v>
      </c>
      <c r="C133" s="65"/>
      <c r="D133" s="1">
        <v>300</v>
      </c>
      <c r="E133" s="1"/>
    </row>
    <row r="134" spans="2:5" ht="14.4" customHeight="1" x14ac:dyDescent="0.3">
      <c r="B134" s="61" t="s">
        <v>47</v>
      </c>
      <c r="C134" s="51"/>
      <c r="D134" s="1">
        <v>0</v>
      </c>
      <c r="E134" s="1"/>
    </row>
    <row r="135" spans="2:5" ht="14.4" customHeight="1" x14ac:dyDescent="0.3">
      <c r="B135" s="52" t="s">
        <v>72</v>
      </c>
      <c r="C135" s="51"/>
      <c r="D135" s="1">
        <v>1900</v>
      </c>
      <c r="E135" s="1"/>
    </row>
    <row r="136" spans="2:5" ht="14.4" customHeight="1" x14ac:dyDescent="0.3">
      <c r="B136" s="52" t="s">
        <v>64</v>
      </c>
      <c r="C136" s="51"/>
      <c r="D136" s="1">
        <v>300</v>
      </c>
      <c r="E136" s="1"/>
    </row>
    <row r="137" spans="2:5" ht="14.4" customHeight="1" x14ac:dyDescent="0.3">
      <c r="B137" s="56" t="s">
        <v>52</v>
      </c>
      <c r="C137" s="57"/>
      <c r="D137" s="1">
        <v>0</v>
      </c>
      <c r="E137" s="1"/>
    </row>
    <row r="138" spans="2:5" ht="14.4" customHeight="1" x14ac:dyDescent="0.3">
      <c r="B138" s="52"/>
      <c r="C138" s="51"/>
      <c r="D138" s="1"/>
      <c r="E138" s="1"/>
    </row>
    <row r="139" spans="2:5" x14ac:dyDescent="0.3">
      <c r="B139" s="59" t="s">
        <v>42</v>
      </c>
      <c r="C139" s="51"/>
      <c r="D139" s="3">
        <f>SUM(D124:D138)</f>
        <v>142100</v>
      </c>
      <c r="E139" s="1"/>
    </row>
    <row r="140" spans="2:5" x14ac:dyDescent="0.3">
      <c r="B140" s="14"/>
      <c r="C140" s="14"/>
      <c r="D140" s="14"/>
      <c r="E140" s="14"/>
    </row>
    <row r="141" spans="2:5" x14ac:dyDescent="0.3">
      <c r="B141" t="s">
        <v>11</v>
      </c>
    </row>
    <row r="142" spans="2:5" x14ac:dyDescent="0.3">
      <c r="B142" t="s">
        <v>12</v>
      </c>
      <c r="C142" t="s">
        <v>13</v>
      </c>
    </row>
    <row r="146" spans="2:5" ht="15.6" x14ac:dyDescent="0.3">
      <c r="C146" s="4" t="s">
        <v>5</v>
      </c>
      <c r="D146" s="4"/>
    </row>
    <row r="147" spans="2:5" ht="15.6" x14ac:dyDescent="0.3">
      <c r="C147" s="4" t="s">
        <v>6</v>
      </c>
      <c r="D147" s="4"/>
    </row>
    <row r="148" spans="2:5" x14ac:dyDescent="0.3">
      <c r="B148" s="5" t="s">
        <v>7</v>
      </c>
      <c r="C148" s="5"/>
      <c r="D148" s="5"/>
      <c r="E148" s="5"/>
    </row>
    <row r="149" spans="2:5" x14ac:dyDescent="0.3">
      <c r="B149" s="5"/>
      <c r="C149" s="5" t="s">
        <v>34</v>
      </c>
      <c r="D149" s="5"/>
      <c r="E149" s="5"/>
    </row>
    <row r="150" spans="2:5" x14ac:dyDescent="0.3">
      <c r="B150" t="s">
        <v>8</v>
      </c>
      <c r="C150" t="s">
        <v>25</v>
      </c>
      <c r="D150" s="6">
        <v>7</v>
      </c>
    </row>
    <row r="153" spans="2:5" ht="28.8" x14ac:dyDescent="0.3">
      <c r="B153" s="1" t="s">
        <v>0</v>
      </c>
      <c r="C153" s="2" t="s">
        <v>1</v>
      </c>
      <c r="D153" s="2" t="s">
        <v>2</v>
      </c>
      <c r="E153" s="2" t="s">
        <v>3</v>
      </c>
    </row>
    <row r="154" spans="2:5" x14ac:dyDescent="0.3">
      <c r="B154" s="3" t="s">
        <v>4</v>
      </c>
      <c r="C154" s="1">
        <v>0</v>
      </c>
      <c r="D154" s="1">
        <v>0</v>
      </c>
      <c r="E154" s="1">
        <v>14200</v>
      </c>
    </row>
    <row r="155" spans="2:5" x14ac:dyDescent="0.3">
      <c r="B155" s="49" t="s">
        <v>14</v>
      </c>
      <c r="C155" s="50"/>
      <c r="D155" s="51"/>
      <c r="E155" s="1">
        <f>C154-E154</f>
        <v>-14200</v>
      </c>
    </row>
    <row r="157" spans="2:5" ht="28.8" x14ac:dyDescent="0.3">
      <c r="B157" s="60" t="s">
        <v>37</v>
      </c>
      <c r="C157" s="51"/>
      <c r="D157" s="21" t="s">
        <v>41</v>
      </c>
      <c r="E157" s="3"/>
    </row>
    <row r="158" spans="2:5" x14ac:dyDescent="0.3">
      <c r="B158" s="60" t="s">
        <v>38</v>
      </c>
      <c r="C158" s="51"/>
      <c r="D158" s="1">
        <v>0</v>
      </c>
      <c r="E158" s="1"/>
    </row>
    <row r="159" spans="2:5" x14ac:dyDescent="0.3">
      <c r="B159" s="52" t="s">
        <v>39</v>
      </c>
      <c r="C159" s="51"/>
      <c r="D159" s="1">
        <f>3400+6700</f>
        <v>10100</v>
      </c>
      <c r="E159" s="1"/>
    </row>
    <row r="160" spans="2:5" x14ac:dyDescent="0.3">
      <c r="B160" s="52" t="s">
        <v>101</v>
      </c>
      <c r="C160" s="51"/>
      <c r="D160" s="1">
        <v>400</v>
      </c>
      <c r="E160" s="1"/>
    </row>
    <row r="161" spans="2:5" x14ac:dyDescent="0.3">
      <c r="B161" s="3" t="s">
        <v>40</v>
      </c>
      <c r="C161" s="1"/>
      <c r="D161" s="1">
        <v>0</v>
      </c>
      <c r="E161" s="1"/>
    </row>
    <row r="162" spans="2:5" x14ac:dyDescent="0.3">
      <c r="B162" s="52" t="s">
        <v>100</v>
      </c>
      <c r="C162" s="51"/>
      <c r="D162" s="1">
        <v>1400</v>
      </c>
      <c r="E162" s="1"/>
    </row>
    <row r="163" spans="2:5" x14ac:dyDescent="0.3">
      <c r="B163" s="52" t="s">
        <v>63</v>
      </c>
      <c r="C163" s="51"/>
      <c r="D163" s="1">
        <v>1600</v>
      </c>
      <c r="E163" s="1"/>
    </row>
    <row r="164" spans="2:5" x14ac:dyDescent="0.3">
      <c r="B164" s="61" t="s">
        <v>47</v>
      </c>
      <c r="C164" s="51"/>
      <c r="D164" s="1">
        <v>0</v>
      </c>
      <c r="E164" s="1"/>
    </row>
    <row r="165" spans="2:5" x14ac:dyDescent="0.3">
      <c r="B165" s="52" t="s">
        <v>72</v>
      </c>
      <c r="C165" s="51"/>
      <c r="D165" s="1">
        <v>700</v>
      </c>
      <c r="E165" s="1"/>
    </row>
    <row r="166" spans="2:5" x14ac:dyDescent="0.3">
      <c r="B166" s="52"/>
      <c r="C166" s="51"/>
      <c r="D166" s="1"/>
      <c r="E166" s="1"/>
    </row>
    <row r="167" spans="2:5" x14ac:dyDescent="0.3">
      <c r="B167" s="56" t="s">
        <v>52</v>
      </c>
      <c r="C167" s="57"/>
      <c r="D167" s="1">
        <v>0</v>
      </c>
      <c r="E167" s="1"/>
    </row>
    <row r="168" spans="2:5" x14ac:dyDescent="0.3">
      <c r="B168" s="52"/>
      <c r="C168" s="51"/>
      <c r="D168" s="1"/>
      <c r="E168" s="1"/>
    </row>
    <row r="169" spans="2:5" x14ac:dyDescent="0.3">
      <c r="B169" s="59" t="s">
        <v>42</v>
      </c>
      <c r="C169" s="51"/>
      <c r="D169" s="3">
        <f>SUM(D158:D168)</f>
        <v>14200</v>
      </c>
      <c r="E169" s="1"/>
    </row>
    <row r="170" spans="2:5" x14ac:dyDescent="0.3">
      <c r="B170" s="14"/>
      <c r="C170" s="14"/>
      <c r="D170" s="14"/>
      <c r="E170" s="14"/>
    </row>
    <row r="171" spans="2:5" x14ac:dyDescent="0.3">
      <c r="B171" t="s">
        <v>11</v>
      </c>
    </row>
    <row r="172" spans="2:5" x14ac:dyDescent="0.3">
      <c r="B172" t="s">
        <v>12</v>
      </c>
      <c r="C172" t="s">
        <v>13</v>
      </c>
    </row>
    <row r="173" spans="2:5" ht="15.6" x14ac:dyDescent="0.3">
      <c r="C173" s="4" t="s">
        <v>5</v>
      </c>
      <c r="D173" s="4"/>
    </row>
    <row r="174" spans="2:5" ht="15.6" x14ac:dyDescent="0.3">
      <c r="C174" s="4" t="s">
        <v>6</v>
      </c>
      <c r="D174" s="4"/>
    </row>
    <row r="175" spans="2:5" x14ac:dyDescent="0.3">
      <c r="B175" s="5" t="s">
        <v>7</v>
      </c>
      <c r="C175" s="5"/>
      <c r="D175" s="5"/>
      <c r="E175" s="5"/>
    </row>
    <row r="176" spans="2:5" x14ac:dyDescent="0.3">
      <c r="B176" s="5"/>
      <c r="C176" s="5" t="s">
        <v>34</v>
      </c>
      <c r="D176" s="5"/>
      <c r="E176" s="5"/>
    </row>
    <row r="177" spans="2:5" x14ac:dyDescent="0.3">
      <c r="B177" t="s">
        <v>8</v>
      </c>
      <c r="C177" t="s">
        <v>25</v>
      </c>
      <c r="D177" s="6">
        <v>14</v>
      </c>
    </row>
    <row r="180" spans="2:5" ht="28.8" x14ac:dyDescent="0.3">
      <c r="B180" s="1" t="s">
        <v>0</v>
      </c>
      <c r="C180" s="2" t="s">
        <v>1</v>
      </c>
      <c r="D180" s="2" t="s">
        <v>2</v>
      </c>
      <c r="E180" s="2" t="s">
        <v>3</v>
      </c>
    </row>
    <row r="181" spans="2:5" x14ac:dyDescent="0.3">
      <c r="B181" s="3" t="s">
        <v>4</v>
      </c>
      <c r="C181" s="1">
        <v>25544.639999999999</v>
      </c>
      <c r="D181" s="1">
        <v>25075.1</v>
      </c>
      <c r="E181" s="1">
        <v>700</v>
      </c>
    </row>
    <row r="182" spans="2:5" x14ac:dyDescent="0.3">
      <c r="B182" s="49" t="s">
        <v>10</v>
      </c>
      <c r="C182" s="50"/>
      <c r="D182" s="51"/>
      <c r="E182" s="1">
        <f>C181-E181</f>
        <v>24844.639999999999</v>
      </c>
    </row>
    <row r="184" spans="2:5" ht="28.8" x14ac:dyDescent="0.3">
      <c r="B184" s="60" t="s">
        <v>37</v>
      </c>
      <c r="C184" s="51"/>
      <c r="D184" s="21" t="s">
        <v>41</v>
      </c>
      <c r="E184" s="3"/>
    </row>
    <row r="185" spans="2:5" x14ac:dyDescent="0.3">
      <c r="B185" s="60" t="s">
        <v>38</v>
      </c>
      <c r="C185" s="51"/>
      <c r="D185" s="1">
        <v>0</v>
      </c>
      <c r="E185" s="1"/>
    </row>
    <row r="186" spans="2:5" x14ac:dyDescent="0.3">
      <c r="B186" s="52"/>
      <c r="C186" s="51"/>
      <c r="D186" s="1"/>
      <c r="E186" s="1"/>
    </row>
    <row r="187" spans="2:5" x14ac:dyDescent="0.3">
      <c r="B187" s="52"/>
      <c r="C187" s="51"/>
      <c r="D187" s="1">
        <v>0</v>
      </c>
      <c r="E187" s="1"/>
    </row>
    <row r="188" spans="2:5" x14ac:dyDescent="0.3">
      <c r="B188" s="3" t="s">
        <v>40</v>
      </c>
      <c r="C188" s="1"/>
      <c r="D188" s="1">
        <v>0</v>
      </c>
      <c r="E188" s="1"/>
    </row>
    <row r="189" spans="2:5" x14ac:dyDescent="0.3">
      <c r="B189" s="52" t="s">
        <v>102</v>
      </c>
      <c r="C189" s="51"/>
      <c r="D189" s="1">
        <v>300</v>
      </c>
      <c r="E189" s="1"/>
    </row>
    <row r="190" spans="2:5" x14ac:dyDescent="0.3">
      <c r="B190" s="52"/>
      <c r="C190" s="51"/>
      <c r="D190" s="1"/>
      <c r="E190" s="1"/>
    </row>
    <row r="191" spans="2:5" x14ac:dyDescent="0.3">
      <c r="B191" s="61" t="s">
        <v>47</v>
      </c>
      <c r="C191" s="51"/>
      <c r="D191" s="1">
        <v>0</v>
      </c>
      <c r="E191" s="1"/>
    </row>
    <row r="192" spans="2:5" x14ac:dyDescent="0.3">
      <c r="B192" s="52"/>
      <c r="C192" s="51"/>
      <c r="D192" s="1"/>
      <c r="E192" s="1"/>
    </row>
    <row r="193" spans="2:5" x14ac:dyDescent="0.3">
      <c r="B193" s="52"/>
      <c r="C193" s="51"/>
      <c r="D193" s="1"/>
      <c r="E193" s="1"/>
    </row>
    <row r="194" spans="2:5" x14ac:dyDescent="0.3">
      <c r="B194" s="56" t="s">
        <v>52</v>
      </c>
      <c r="C194" s="57"/>
      <c r="D194" s="1">
        <v>0</v>
      </c>
      <c r="E194" s="1"/>
    </row>
    <row r="195" spans="2:5" x14ac:dyDescent="0.3">
      <c r="B195" s="52" t="s">
        <v>53</v>
      </c>
      <c r="C195" s="51"/>
      <c r="D195" s="1">
        <v>400</v>
      </c>
      <c r="E195" s="1"/>
    </row>
    <row r="196" spans="2:5" x14ac:dyDescent="0.3">
      <c r="B196" s="59" t="s">
        <v>42</v>
      </c>
      <c r="C196" s="51"/>
      <c r="D196" s="3">
        <f>SUM(D185:D195)</f>
        <v>700</v>
      </c>
      <c r="E196" s="1"/>
    </row>
    <row r="197" spans="2:5" x14ac:dyDescent="0.3">
      <c r="B197" s="14"/>
      <c r="C197" s="14"/>
      <c r="D197" s="14"/>
      <c r="E197" s="14"/>
    </row>
    <row r="198" spans="2:5" x14ac:dyDescent="0.3">
      <c r="B198" t="s">
        <v>11</v>
      </c>
    </row>
    <row r="199" spans="2:5" x14ac:dyDescent="0.3">
      <c r="B199" t="s">
        <v>12</v>
      </c>
      <c r="C199" t="s">
        <v>13</v>
      </c>
    </row>
    <row r="201" spans="2:5" ht="15.6" x14ac:dyDescent="0.3">
      <c r="C201" s="4" t="s">
        <v>5</v>
      </c>
      <c r="D201" s="4"/>
    </row>
    <row r="202" spans="2:5" ht="15.6" x14ac:dyDescent="0.3">
      <c r="C202" s="4" t="s">
        <v>6</v>
      </c>
      <c r="D202" s="4"/>
    </row>
    <row r="203" spans="2:5" x14ac:dyDescent="0.3">
      <c r="B203" s="5" t="s">
        <v>7</v>
      </c>
      <c r="C203" s="5"/>
      <c r="D203" s="5"/>
      <c r="E203" s="5"/>
    </row>
    <row r="204" spans="2:5" x14ac:dyDescent="0.3">
      <c r="B204" s="5"/>
      <c r="C204" s="5" t="s">
        <v>34</v>
      </c>
      <c r="D204" s="5"/>
      <c r="E204" s="5"/>
    </row>
    <row r="205" spans="2:5" x14ac:dyDescent="0.3">
      <c r="B205" t="s">
        <v>8</v>
      </c>
      <c r="C205" t="s">
        <v>25</v>
      </c>
      <c r="D205" s="6">
        <v>15</v>
      </c>
    </row>
    <row r="208" spans="2:5" ht="28.8" x14ac:dyDescent="0.3">
      <c r="B208" s="1" t="s">
        <v>0</v>
      </c>
      <c r="C208" s="2" t="s">
        <v>1</v>
      </c>
      <c r="D208" s="2" t="s">
        <v>2</v>
      </c>
      <c r="E208" s="2" t="s">
        <v>3</v>
      </c>
    </row>
    <row r="209" spans="2:5" x14ac:dyDescent="0.3">
      <c r="B209" s="3" t="s">
        <v>4</v>
      </c>
      <c r="C209" s="1">
        <v>10678.44</v>
      </c>
      <c r="D209" s="1">
        <v>9139.6</v>
      </c>
      <c r="E209" s="1">
        <v>21700</v>
      </c>
    </row>
    <row r="210" spans="2:5" x14ac:dyDescent="0.3">
      <c r="B210" s="49" t="s">
        <v>32</v>
      </c>
      <c r="C210" s="50"/>
      <c r="D210" s="51"/>
      <c r="E210" s="1">
        <f>C209-E209</f>
        <v>-11021.56</v>
      </c>
    </row>
    <row r="212" spans="2:5" ht="28.8" x14ac:dyDescent="0.3">
      <c r="B212" s="60" t="s">
        <v>37</v>
      </c>
      <c r="C212" s="51"/>
      <c r="D212" s="21" t="s">
        <v>41</v>
      </c>
      <c r="E212" s="3"/>
    </row>
    <row r="213" spans="2:5" x14ac:dyDescent="0.3">
      <c r="B213" s="60" t="s">
        <v>38</v>
      </c>
      <c r="C213" s="51"/>
      <c r="D213" s="1">
        <v>0</v>
      </c>
      <c r="E213" s="1"/>
    </row>
    <row r="214" spans="2:5" x14ac:dyDescent="0.3">
      <c r="B214" s="52" t="s">
        <v>39</v>
      </c>
      <c r="C214" s="51"/>
      <c r="D214" s="1">
        <v>1000</v>
      </c>
      <c r="E214" s="1"/>
    </row>
    <row r="215" spans="2:5" x14ac:dyDescent="0.3">
      <c r="B215" s="52" t="s">
        <v>104</v>
      </c>
      <c r="C215" s="51"/>
      <c r="D215" s="1">
        <v>2000</v>
      </c>
      <c r="E215" s="1"/>
    </row>
    <row r="216" spans="2:5" x14ac:dyDescent="0.3">
      <c r="B216" s="52" t="s">
        <v>103</v>
      </c>
      <c r="C216" s="51"/>
      <c r="D216" s="1">
        <f>1300+1200</f>
        <v>2500</v>
      </c>
      <c r="E216" s="1"/>
    </row>
    <row r="217" spans="2:5" x14ac:dyDescent="0.3">
      <c r="B217" s="3" t="s">
        <v>40</v>
      </c>
      <c r="C217" s="1"/>
      <c r="D217" s="1">
        <v>0</v>
      </c>
      <c r="E217" s="1"/>
    </row>
    <row r="218" spans="2:5" ht="25.8" customHeight="1" x14ac:dyDescent="0.3">
      <c r="B218" s="52" t="s">
        <v>105</v>
      </c>
      <c r="C218" s="51"/>
      <c r="D218" s="1">
        <f>15100+100</f>
        <v>15200</v>
      </c>
      <c r="E218" s="1"/>
    </row>
    <row r="219" spans="2:5" x14ac:dyDescent="0.3">
      <c r="B219" s="52" t="s">
        <v>106</v>
      </c>
      <c r="C219" s="51"/>
      <c r="D219" s="1">
        <f>600+200</f>
        <v>800</v>
      </c>
      <c r="E219" s="1"/>
    </row>
    <row r="220" spans="2:5" x14ac:dyDescent="0.3">
      <c r="B220" s="61" t="s">
        <v>47</v>
      </c>
      <c r="C220" s="51"/>
      <c r="D220" s="1">
        <v>0</v>
      </c>
      <c r="E220" s="1"/>
    </row>
    <row r="221" spans="2:5" x14ac:dyDescent="0.3">
      <c r="B221" s="52"/>
      <c r="C221" s="51"/>
      <c r="D221" s="1"/>
      <c r="E221" s="1"/>
    </row>
    <row r="222" spans="2:5" x14ac:dyDescent="0.3">
      <c r="B222" s="52"/>
      <c r="C222" s="51"/>
      <c r="D222" s="1"/>
      <c r="E222" s="1"/>
    </row>
    <row r="223" spans="2:5" x14ac:dyDescent="0.3">
      <c r="B223" s="56" t="s">
        <v>52</v>
      </c>
      <c r="C223" s="57"/>
      <c r="D223" s="1">
        <v>0</v>
      </c>
      <c r="E223" s="1"/>
    </row>
    <row r="224" spans="2:5" ht="14.4" customHeight="1" x14ac:dyDescent="0.3">
      <c r="B224" s="52" t="s">
        <v>53</v>
      </c>
      <c r="C224" s="51"/>
      <c r="D224" s="1">
        <v>200</v>
      </c>
      <c r="E224" s="1"/>
    </row>
    <row r="225" spans="2:5" x14ac:dyDescent="0.3">
      <c r="B225" s="59" t="s">
        <v>42</v>
      </c>
      <c r="C225" s="51"/>
      <c r="D225" s="3">
        <f>SUM(D213:D224)</f>
        <v>21700</v>
      </c>
      <c r="E225" s="1"/>
    </row>
    <row r="226" spans="2:5" x14ac:dyDescent="0.3">
      <c r="B226" s="14"/>
      <c r="C226" s="14"/>
      <c r="D226" s="14"/>
      <c r="E226" s="14"/>
    </row>
    <row r="227" spans="2:5" x14ac:dyDescent="0.3">
      <c r="B227" t="s">
        <v>11</v>
      </c>
    </row>
    <row r="228" spans="2:5" x14ac:dyDescent="0.3">
      <c r="B228" t="s">
        <v>12</v>
      </c>
      <c r="C228" t="s">
        <v>13</v>
      </c>
    </row>
    <row r="231" spans="2:5" ht="15.6" x14ac:dyDescent="0.3">
      <c r="C231" s="4" t="s">
        <v>5</v>
      </c>
      <c r="D231" s="4"/>
    </row>
    <row r="232" spans="2:5" ht="15.6" x14ac:dyDescent="0.3">
      <c r="C232" s="4" t="s">
        <v>6</v>
      </c>
      <c r="D232" s="4"/>
    </row>
    <row r="233" spans="2:5" x14ac:dyDescent="0.3">
      <c r="B233" s="5" t="s">
        <v>7</v>
      </c>
      <c r="C233" s="5"/>
      <c r="D233" s="5"/>
      <c r="E233" s="5"/>
    </row>
    <row r="234" spans="2:5" x14ac:dyDescent="0.3">
      <c r="B234" s="5"/>
      <c r="C234" s="5" t="s">
        <v>34</v>
      </c>
      <c r="D234" s="5"/>
      <c r="E234" s="5"/>
    </row>
    <row r="235" spans="2:5" x14ac:dyDescent="0.3">
      <c r="B235" t="s">
        <v>8</v>
      </c>
      <c r="C235" t="s">
        <v>25</v>
      </c>
      <c r="D235" s="6">
        <v>16</v>
      </c>
    </row>
    <row r="238" spans="2:5" ht="28.8" x14ac:dyDescent="0.3">
      <c r="B238" s="1" t="s">
        <v>0</v>
      </c>
      <c r="C238" s="2" t="s">
        <v>1</v>
      </c>
      <c r="D238" s="2" t="s">
        <v>2</v>
      </c>
      <c r="E238" s="2" t="s">
        <v>3</v>
      </c>
    </row>
    <row r="239" spans="2:5" x14ac:dyDescent="0.3">
      <c r="B239" s="3" t="s">
        <v>4</v>
      </c>
      <c r="C239" s="1">
        <v>18803.52</v>
      </c>
      <c r="D239" s="1">
        <v>18541.86</v>
      </c>
      <c r="E239" s="1">
        <v>3100</v>
      </c>
    </row>
    <row r="240" spans="2:5" x14ac:dyDescent="0.3">
      <c r="B240" s="49" t="s">
        <v>10</v>
      </c>
      <c r="C240" s="50"/>
      <c r="D240" s="51"/>
      <c r="E240" s="1">
        <f>C239-E239</f>
        <v>15703.52</v>
      </c>
    </row>
    <row r="242" spans="2:5" ht="28.8" x14ac:dyDescent="0.3">
      <c r="B242" s="60" t="s">
        <v>37</v>
      </c>
      <c r="C242" s="51"/>
      <c r="D242" s="21" t="s">
        <v>41</v>
      </c>
      <c r="E242" s="3"/>
    </row>
    <row r="243" spans="2:5" x14ac:dyDescent="0.3">
      <c r="B243" s="60" t="s">
        <v>38</v>
      </c>
      <c r="C243" s="51"/>
      <c r="D243" s="1">
        <v>0</v>
      </c>
      <c r="E243" s="1"/>
    </row>
    <row r="244" spans="2:5" x14ac:dyDescent="0.3">
      <c r="B244" s="52"/>
      <c r="C244" s="51"/>
      <c r="D244" s="1"/>
      <c r="E244" s="1"/>
    </row>
    <row r="245" spans="2:5" x14ac:dyDescent="0.3">
      <c r="B245" s="52"/>
      <c r="C245" s="51"/>
      <c r="D245" s="1">
        <v>0</v>
      </c>
      <c r="E245" s="1"/>
    </row>
    <row r="246" spans="2:5" x14ac:dyDescent="0.3">
      <c r="B246" s="3" t="s">
        <v>40</v>
      </c>
      <c r="C246" s="1"/>
      <c r="D246" s="1">
        <v>0</v>
      </c>
      <c r="E246" s="1"/>
    </row>
    <row r="247" spans="2:5" x14ac:dyDescent="0.3">
      <c r="B247" s="52" t="s">
        <v>58</v>
      </c>
      <c r="C247" s="51"/>
      <c r="D247" s="1">
        <v>1100</v>
      </c>
      <c r="E247" s="1"/>
    </row>
    <row r="248" spans="2:5" x14ac:dyDescent="0.3">
      <c r="B248" s="52"/>
      <c r="C248" s="51"/>
      <c r="D248" s="1"/>
      <c r="E248" s="1"/>
    </row>
    <row r="249" spans="2:5" ht="14.4" customHeight="1" x14ac:dyDescent="0.3">
      <c r="B249" s="61" t="s">
        <v>47</v>
      </c>
      <c r="C249" s="51"/>
      <c r="D249" s="1">
        <v>0</v>
      </c>
      <c r="E249" s="1"/>
    </row>
    <row r="250" spans="2:5" x14ac:dyDescent="0.3">
      <c r="B250" s="52" t="s">
        <v>72</v>
      </c>
      <c r="C250" s="51"/>
      <c r="D250" s="1">
        <f>400+100+1500</f>
        <v>2000</v>
      </c>
      <c r="E250" s="1"/>
    </row>
    <row r="251" spans="2:5" x14ac:dyDescent="0.3">
      <c r="B251" s="52"/>
      <c r="C251" s="51"/>
      <c r="D251" s="1"/>
      <c r="E251" s="1"/>
    </row>
    <row r="252" spans="2:5" x14ac:dyDescent="0.3">
      <c r="B252" s="56" t="s">
        <v>52</v>
      </c>
      <c r="C252" s="57"/>
      <c r="D252" s="1">
        <v>0</v>
      </c>
      <c r="E252" s="1"/>
    </row>
    <row r="253" spans="2:5" x14ac:dyDescent="0.3">
      <c r="B253" s="52"/>
      <c r="C253" s="51"/>
      <c r="D253" s="1"/>
      <c r="E253" s="1"/>
    </row>
    <row r="254" spans="2:5" x14ac:dyDescent="0.3">
      <c r="B254" s="59" t="s">
        <v>42</v>
      </c>
      <c r="C254" s="51"/>
      <c r="D254" s="3">
        <f>SUM(D243:D253)</f>
        <v>3100</v>
      </c>
      <c r="E254" s="1"/>
    </row>
    <row r="255" spans="2:5" x14ac:dyDescent="0.3">
      <c r="B255" s="14"/>
      <c r="C255" s="14"/>
      <c r="D255" s="14"/>
      <c r="E255" s="14"/>
    </row>
    <row r="256" spans="2:5" x14ac:dyDescent="0.3">
      <c r="B256" t="s">
        <v>11</v>
      </c>
    </row>
    <row r="257" spans="2:5" x14ac:dyDescent="0.3">
      <c r="B257" t="s">
        <v>12</v>
      </c>
      <c r="C257" t="s">
        <v>13</v>
      </c>
    </row>
    <row r="258" spans="2:5" ht="15.6" x14ac:dyDescent="0.3">
      <c r="C258" s="4" t="s">
        <v>5</v>
      </c>
      <c r="D258" s="4"/>
    </row>
    <row r="259" spans="2:5" ht="15.6" x14ac:dyDescent="0.3">
      <c r="C259" s="4" t="s">
        <v>6</v>
      </c>
      <c r="D259" s="4"/>
    </row>
    <row r="260" spans="2:5" x14ac:dyDescent="0.3">
      <c r="B260" s="5" t="s">
        <v>7</v>
      </c>
      <c r="C260" s="5"/>
      <c r="D260" s="5"/>
      <c r="E260" s="5"/>
    </row>
    <row r="261" spans="2:5" x14ac:dyDescent="0.3">
      <c r="B261" s="5"/>
      <c r="C261" s="5" t="s">
        <v>34</v>
      </c>
      <c r="D261" s="5"/>
      <c r="E261" s="5"/>
    </row>
    <row r="262" spans="2:5" x14ac:dyDescent="0.3">
      <c r="B262" t="s">
        <v>8</v>
      </c>
      <c r="C262" t="s">
        <v>25</v>
      </c>
      <c r="D262" s="6">
        <v>17</v>
      </c>
    </row>
    <row r="265" spans="2:5" ht="28.8" x14ac:dyDescent="0.3">
      <c r="B265" s="1" t="s">
        <v>0</v>
      </c>
      <c r="C265" s="2" t="s">
        <v>1</v>
      </c>
      <c r="D265" s="2" t="s">
        <v>2</v>
      </c>
      <c r="E265" s="2" t="s">
        <v>3</v>
      </c>
    </row>
    <row r="266" spans="2:5" x14ac:dyDescent="0.3">
      <c r="B266" s="3" t="s">
        <v>4</v>
      </c>
      <c r="C266" s="1">
        <v>21098.880000000001</v>
      </c>
      <c r="D266" s="1">
        <v>15704.22</v>
      </c>
      <c r="E266" s="1">
        <v>48300</v>
      </c>
    </row>
    <row r="267" spans="2:5" x14ac:dyDescent="0.3">
      <c r="B267" s="49" t="s">
        <v>14</v>
      </c>
      <c r="C267" s="50"/>
      <c r="D267" s="51"/>
      <c r="E267" s="1">
        <f>C266-E266</f>
        <v>-27201.119999999999</v>
      </c>
    </row>
    <row r="269" spans="2:5" ht="28.8" x14ac:dyDescent="0.3">
      <c r="B269" s="60" t="s">
        <v>37</v>
      </c>
      <c r="C269" s="51"/>
      <c r="D269" s="21" t="s">
        <v>41</v>
      </c>
      <c r="E269" s="3"/>
    </row>
    <row r="270" spans="2:5" x14ac:dyDescent="0.3">
      <c r="B270" s="60" t="s">
        <v>38</v>
      </c>
      <c r="C270" s="51"/>
      <c r="D270" s="1">
        <v>0</v>
      </c>
      <c r="E270" s="1"/>
    </row>
    <row r="271" spans="2:5" x14ac:dyDescent="0.3">
      <c r="B271" s="52" t="s">
        <v>39</v>
      </c>
      <c r="C271" s="51"/>
      <c r="D271" s="1">
        <f>4500+2200+4500</f>
        <v>11200</v>
      </c>
      <c r="E271" s="1"/>
    </row>
    <row r="272" spans="2:5" x14ac:dyDescent="0.3">
      <c r="B272" s="52" t="s">
        <v>103</v>
      </c>
      <c r="C272" s="51"/>
      <c r="D272" s="1">
        <f>1400+3300</f>
        <v>4700</v>
      </c>
      <c r="E272" s="1"/>
    </row>
    <row r="273" spans="2:5" x14ac:dyDescent="0.3">
      <c r="B273" s="3" t="s">
        <v>40</v>
      </c>
      <c r="C273" s="1"/>
      <c r="D273" s="1">
        <v>0</v>
      </c>
      <c r="E273" s="1"/>
    </row>
    <row r="274" spans="2:5" x14ac:dyDescent="0.3">
      <c r="B274" s="52" t="s">
        <v>94</v>
      </c>
      <c r="C274" s="51"/>
      <c r="D274" s="1">
        <v>30900</v>
      </c>
      <c r="E274" s="1"/>
    </row>
    <row r="275" spans="2:5" x14ac:dyDescent="0.3">
      <c r="B275" s="52" t="s">
        <v>107</v>
      </c>
      <c r="C275" s="51"/>
      <c r="D275" s="1">
        <v>200</v>
      </c>
      <c r="E275" s="1"/>
    </row>
    <row r="276" spans="2:5" x14ac:dyDescent="0.3">
      <c r="B276" s="61" t="s">
        <v>47</v>
      </c>
      <c r="C276" s="51"/>
      <c r="D276" s="1">
        <v>0</v>
      </c>
      <c r="E276" s="1"/>
    </row>
    <row r="277" spans="2:5" x14ac:dyDescent="0.3">
      <c r="B277" s="52" t="s">
        <v>72</v>
      </c>
      <c r="C277" s="51"/>
      <c r="D277" s="1">
        <v>900</v>
      </c>
      <c r="E277" s="1"/>
    </row>
    <row r="278" spans="2:5" x14ac:dyDescent="0.3">
      <c r="B278" s="52"/>
      <c r="C278" s="51"/>
      <c r="D278" s="1"/>
      <c r="E278" s="1"/>
    </row>
    <row r="279" spans="2:5" x14ac:dyDescent="0.3">
      <c r="B279" s="56" t="s">
        <v>52</v>
      </c>
      <c r="C279" s="57"/>
      <c r="D279" s="1">
        <v>0</v>
      </c>
      <c r="E279" s="1"/>
    </row>
    <row r="280" spans="2:5" x14ac:dyDescent="0.3">
      <c r="B280" s="52" t="s">
        <v>53</v>
      </c>
      <c r="C280" s="51"/>
      <c r="D280" s="1">
        <v>400</v>
      </c>
      <c r="E280" s="1"/>
    </row>
    <row r="281" spans="2:5" x14ac:dyDescent="0.3">
      <c r="B281" s="59" t="s">
        <v>42</v>
      </c>
      <c r="C281" s="51"/>
      <c r="D281" s="3">
        <f>SUM(D270:D280)</f>
        <v>48300</v>
      </c>
      <c r="E281" s="1"/>
    </row>
    <row r="282" spans="2:5" x14ac:dyDescent="0.3">
      <c r="B282" s="14"/>
      <c r="C282" s="14"/>
      <c r="D282" s="14"/>
      <c r="E282" s="14"/>
    </row>
    <row r="283" spans="2:5" x14ac:dyDescent="0.3">
      <c r="B283" t="s">
        <v>11</v>
      </c>
    </row>
    <row r="284" spans="2:5" x14ac:dyDescent="0.3">
      <c r="B284" t="s">
        <v>12</v>
      </c>
      <c r="C284" t="s">
        <v>13</v>
      </c>
    </row>
    <row r="285" spans="2:5" ht="15.6" x14ac:dyDescent="0.3">
      <c r="C285" s="4" t="s">
        <v>5</v>
      </c>
      <c r="D285" s="4"/>
    </row>
    <row r="286" spans="2:5" ht="15.6" x14ac:dyDescent="0.3">
      <c r="C286" s="4" t="s">
        <v>6</v>
      </c>
      <c r="D286" s="4"/>
    </row>
    <row r="287" spans="2:5" x14ac:dyDescent="0.3">
      <c r="B287" s="5" t="s">
        <v>7</v>
      </c>
      <c r="C287" s="5"/>
      <c r="D287" s="5"/>
      <c r="E287" s="5"/>
    </row>
    <row r="288" spans="2:5" x14ac:dyDescent="0.3">
      <c r="B288" s="5"/>
      <c r="C288" s="5" t="s">
        <v>34</v>
      </c>
      <c r="D288" s="5"/>
      <c r="E288" s="5"/>
    </row>
    <row r="289" spans="2:5" x14ac:dyDescent="0.3">
      <c r="B289" t="s">
        <v>8</v>
      </c>
      <c r="C289" t="s">
        <v>25</v>
      </c>
      <c r="D289" s="6">
        <v>18</v>
      </c>
    </row>
    <row r="292" spans="2:5" ht="28.8" x14ac:dyDescent="0.3">
      <c r="B292" s="1" t="s">
        <v>0</v>
      </c>
      <c r="C292" s="2" t="s">
        <v>1</v>
      </c>
      <c r="D292" s="2" t="s">
        <v>2</v>
      </c>
      <c r="E292" s="2" t="s">
        <v>3</v>
      </c>
    </row>
    <row r="293" spans="2:5" x14ac:dyDescent="0.3">
      <c r="B293" s="3" t="s">
        <v>4</v>
      </c>
      <c r="C293" s="1">
        <v>32934.959999999999</v>
      </c>
      <c r="D293" s="1">
        <v>28821.01</v>
      </c>
      <c r="E293" s="1">
        <v>64000</v>
      </c>
    </row>
    <row r="294" spans="2:5" x14ac:dyDescent="0.3">
      <c r="B294" s="49" t="s">
        <v>32</v>
      </c>
      <c r="C294" s="50"/>
      <c r="D294" s="51"/>
      <c r="E294" s="1">
        <f>C293-E293</f>
        <v>-31065.040000000001</v>
      </c>
    </row>
    <row r="296" spans="2:5" ht="28.8" x14ac:dyDescent="0.3">
      <c r="B296" s="60" t="s">
        <v>37</v>
      </c>
      <c r="C296" s="51"/>
      <c r="D296" s="21" t="s">
        <v>41</v>
      </c>
      <c r="E296" s="3"/>
    </row>
    <row r="297" spans="2:5" x14ac:dyDescent="0.3">
      <c r="B297" s="60" t="s">
        <v>38</v>
      </c>
      <c r="C297" s="51"/>
      <c r="D297" s="1">
        <v>0</v>
      </c>
      <c r="E297" s="1"/>
    </row>
    <row r="298" spans="2:5" x14ac:dyDescent="0.3">
      <c r="B298" s="52" t="s">
        <v>39</v>
      </c>
      <c r="C298" s="51"/>
      <c r="D298" s="1">
        <f>1600+1600+2200+2200</f>
        <v>7600</v>
      </c>
      <c r="E298" s="1"/>
    </row>
    <row r="299" spans="2:5" x14ac:dyDescent="0.3">
      <c r="B299" s="52"/>
      <c r="C299" s="51"/>
      <c r="D299" s="1">
        <v>0</v>
      </c>
      <c r="E299" s="1"/>
    </row>
    <row r="300" spans="2:5" x14ac:dyDescent="0.3">
      <c r="B300" s="3" t="s">
        <v>40</v>
      </c>
      <c r="C300" s="1"/>
      <c r="D300" s="1">
        <v>0</v>
      </c>
      <c r="E300" s="1"/>
    </row>
    <row r="301" spans="2:5" x14ac:dyDescent="0.3">
      <c r="B301" s="52" t="s">
        <v>108</v>
      </c>
      <c r="C301" s="51"/>
      <c r="D301" s="1">
        <f>200+200</f>
        <v>400</v>
      </c>
      <c r="E301" s="1"/>
    </row>
    <row r="302" spans="2:5" x14ac:dyDescent="0.3">
      <c r="B302" s="52" t="s">
        <v>78</v>
      </c>
      <c r="C302" s="51"/>
      <c r="D302" s="1">
        <v>53600</v>
      </c>
      <c r="E302" s="1"/>
    </row>
    <row r="303" spans="2:5" ht="14.4" customHeight="1" x14ac:dyDescent="0.3">
      <c r="B303" s="61" t="s">
        <v>47</v>
      </c>
      <c r="C303" s="51"/>
      <c r="D303" s="1">
        <v>0</v>
      </c>
      <c r="E303" s="1"/>
    </row>
    <row r="304" spans="2:5" x14ac:dyDescent="0.3">
      <c r="B304" s="52" t="s">
        <v>64</v>
      </c>
      <c r="C304" s="51"/>
      <c r="D304" s="1">
        <v>300</v>
      </c>
      <c r="E304" s="1"/>
    </row>
    <row r="305" spans="2:5" x14ac:dyDescent="0.3">
      <c r="B305" s="52" t="s">
        <v>95</v>
      </c>
      <c r="C305" s="51"/>
      <c r="D305" s="1">
        <v>1300</v>
      </c>
      <c r="E305" s="1"/>
    </row>
    <row r="306" spans="2:5" x14ac:dyDescent="0.3">
      <c r="B306" s="56" t="s">
        <v>52</v>
      </c>
      <c r="C306" s="57"/>
      <c r="D306" s="1">
        <v>0</v>
      </c>
      <c r="E306" s="1"/>
    </row>
    <row r="307" spans="2:5" x14ac:dyDescent="0.3">
      <c r="B307" s="52" t="s">
        <v>53</v>
      </c>
      <c r="C307" s="51"/>
      <c r="D307" s="1">
        <v>800</v>
      </c>
      <c r="E307" s="1"/>
    </row>
    <row r="308" spans="2:5" x14ac:dyDescent="0.3">
      <c r="B308" s="59" t="s">
        <v>42</v>
      </c>
      <c r="C308" s="51"/>
      <c r="D308" s="3">
        <f>SUM(D297:D307)</f>
        <v>64000</v>
      </c>
      <c r="E308" s="1"/>
    </row>
    <row r="309" spans="2:5" x14ac:dyDescent="0.3">
      <c r="B309" s="14"/>
      <c r="C309" s="14"/>
      <c r="D309" s="14"/>
      <c r="E309" s="14"/>
    </row>
    <row r="310" spans="2:5" x14ac:dyDescent="0.3">
      <c r="B310" t="s">
        <v>11</v>
      </c>
    </row>
    <row r="311" spans="2:5" x14ac:dyDescent="0.3">
      <c r="B311" t="s">
        <v>12</v>
      </c>
      <c r="C311" t="s">
        <v>13</v>
      </c>
    </row>
    <row r="313" spans="2:5" ht="15.6" x14ac:dyDescent="0.3">
      <c r="C313" s="4" t="s">
        <v>5</v>
      </c>
      <c r="D313" s="4"/>
    </row>
    <row r="314" spans="2:5" ht="15.6" x14ac:dyDescent="0.3">
      <c r="C314" s="4" t="s">
        <v>6</v>
      </c>
      <c r="D314" s="4"/>
    </row>
    <row r="315" spans="2:5" x14ac:dyDescent="0.3">
      <c r="B315" s="5" t="s">
        <v>7</v>
      </c>
      <c r="C315" s="5"/>
      <c r="D315" s="5"/>
      <c r="E315" s="5"/>
    </row>
    <row r="316" spans="2:5" x14ac:dyDescent="0.3">
      <c r="B316" s="5"/>
      <c r="C316" s="5" t="s">
        <v>34</v>
      </c>
      <c r="D316" s="5"/>
      <c r="E316" s="5"/>
    </row>
    <row r="317" spans="2:5" x14ac:dyDescent="0.3">
      <c r="B317" t="s">
        <v>8</v>
      </c>
      <c r="C317" t="s">
        <v>25</v>
      </c>
      <c r="D317" s="6">
        <v>19</v>
      </c>
    </row>
    <row r="320" spans="2:5" ht="28.8" x14ac:dyDescent="0.3">
      <c r="B320" s="1" t="s">
        <v>0</v>
      </c>
      <c r="C320" s="2" t="s">
        <v>1</v>
      </c>
      <c r="D320" s="2" t="s">
        <v>2</v>
      </c>
      <c r="E320" s="2" t="s">
        <v>3</v>
      </c>
    </row>
    <row r="321" spans="2:5" x14ac:dyDescent="0.3">
      <c r="B321" s="3" t="s">
        <v>4</v>
      </c>
      <c r="C321" s="1">
        <v>10587.36</v>
      </c>
      <c r="D321" s="1">
        <v>10256.530000000001</v>
      </c>
      <c r="E321" s="1">
        <v>2400</v>
      </c>
    </row>
    <row r="322" spans="2:5" x14ac:dyDescent="0.3">
      <c r="B322" s="49" t="s">
        <v>31</v>
      </c>
      <c r="C322" s="50"/>
      <c r="D322" s="51"/>
      <c r="E322" s="1">
        <f>C321-E321</f>
        <v>8187.3600000000006</v>
      </c>
    </row>
    <row r="324" spans="2:5" ht="28.8" x14ac:dyDescent="0.3">
      <c r="B324" s="60" t="s">
        <v>37</v>
      </c>
      <c r="C324" s="51"/>
      <c r="D324" s="21" t="s">
        <v>41</v>
      </c>
      <c r="E324" s="3"/>
    </row>
    <row r="325" spans="2:5" x14ac:dyDescent="0.3">
      <c r="B325" s="60" t="s">
        <v>38</v>
      </c>
      <c r="C325" s="51"/>
      <c r="D325" s="1">
        <v>0</v>
      </c>
      <c r="E325" s="1"/>
    </row>
    <row r="326" spans="2:5" x14ac:dyDescent="0.3">
      <c r="B326" s="52" t="s">
        <v>99</v>
      </c>
      <c r="C326" s="51"/>
      <c r="D326" s="1">
        <v>1200</v>
      </c>
      <c r="E326" s="1"/>
    </row>
    <row r="327" spans="2:5" x14ac:dyDescent="0.3">
      <c r="B327" s="52"/>
      <c r="C327" s="51"/>
      <c r="D327" s="1">
        <v>0</v>
      </c>
      <c r="E327" s="1"/>
    </row>
    <row r="328" spans="2:5" x14ac:dyDescent="0.3">
      <c r="B328" s="3" t="s">
        <v>40</v>
      </c>
      <c r="C328" s="1"/>
      <c r="D328" s="1">
        <v>0</v>
      </c>
      <c r="E328" s="1"/>
    </row>
    <row r="329" spans="2:5" x14ac:dyDescent="0.3">
      <c r="B329" s="52" t="s">
        <v>102</v>
      </c>
      <c r="C329" s="51"/>
      <c r="D329" s="1">
        <v>500</v>
      </c>
      <c r="E329" s="1"/>
    </row>
    <row r="330" spans="2:5" x14ac:dyDescent="0.3">
      <c r="B330" s="52" t="s">
        <v>109</v>
      </c>
      <c r="C330" s="51"/>
      <c r="D330" s="1">
        <v>400</v>
      </c>
      <c r="E330" s="1"/>
    </row>
    <row r="331" spans="2:5" ht="14.4" customHeight="1" x14ac:dyDescent="0.3">
      <c r="B331" s="61" t="s">
        <v>47</v>
      </c>
      <c r="C331" s="51"/>
      <c r="D331" s="1">
        <v>0</v>
      </c>
      <c r="E331" s="1"/>
    </row>
    <row r="332" spans="2:5" x14ac:dyDescent="0.3">
      <c r="B332" s="52" t="s">
        <v>64</v>
      </c>
      <c r="C332" s="51"/>
      <c r="D332" s="1">
        <v>300</v>
      </c>
      <c r="E332" s="1"/>
    </row>
    <row r="333" spans="2:5" x14ac:dyDescent="0.3">
      <c r="B333" s="52"/>
      <c r="C333" s="51"/>
      <c r="D333" s="1"/>
      <c r="E333" s="1"/>
    </row>
    <row r="334" spans="2:5" x14ac:dyDescent="0.3">
      <c r="B334" s="56" t="s">
        <v>52</v>
      </c>
      <c r="C334" s="57"/>
      <c r="D334" s="1">
        <v>0</v>
      </c>
      <c r="E334" s="1"/>
    </row>
    <row r="335" spans="2:5" x14ac:dyDescent="0.3">
      <c r="B335" s="52"/>
      <c r="C335" s="51"/>
      <c r="D335" s="1"/>
      <c r="E335" s="1"/>
    </row>
    <row r="336" spans="2:5" x14ac:dyDescent="0.3">
      <c r="B336" s="59" t="s">
        <v>42</v>
      </c>
      <c r="C336" s="51"/>
      <c r="D336" s="3">
        <f>SUM(D325:D335)</f>
        <v>2400</v>
      </c>
      <c r="E336" s="1"/>
    </row>
    <row r="337" spans="2:5" x14ac:dyDescent="0.3">
      <c r="B337" s="14"/>
      <c r="C337" s="14"/>
      <c r="D337" s="14"/>
      <c r="E337" s="14"/>
    </row>
    <row r="338" spans="2:5" x14ac:dyDescent="0.3">
      <c r="B338" t="s">
        <v>11</v>
      </c>
    </row>
    <row r="339" spans="2:5" x14ac:dyDescent="0.3">
      <c r="B339" t="s">
        <v>12</v>
      </c>
      <c r="C339" t="s">
        <v>13</v>
      </c>
    </row>
    <row r="344" spans="2:5" ht="15.6" x14ac:dyDescent="0.3">
      <c r="C344" s="4" t="s">
        <v>5</v>
      </c>
      <c r="D344" s="4"/>
    </row>
    <row r="345" spans="2:5" ht="15.6" x14ac:dyDescent="0.3">
      <c r="C345" s="4" t="s">
        <v>6</v>
      </c>
      <c r="D345" s="4"/>
    </row>
    <row r="346" spans="2:5" x14ac:dyDescent="0.3">
      <c r="B346" s="5" t="s">
        <v>7</v>
      </c>
      <c r="C346" s="5"/>
      <c r="D346" s="5"/>
      <c r="E346" s="5"/>
    </row>
    <row r="347" spans="2:5" x14ac:dyDescent="0.3">
      <c r="B347" s="5"/>
      <c r="C347" s="5" t="s">
        <v>472</v>
      </c>
      <c r="D347" s="5"/>
      <c r="E347" s="5"/>
    </row>
    <row r="348" spans="2:5" x14ac:dyDescent="0.3">
      <c r="B348" t="s">
        <v>8</v>
      </c>
      <c r="C348" t="s">
        <v>25</v>
      </c>
      <c r="D348" s="6">
        <v>5</v>
      </c>
    </row>
    <row r="351" spans="2:5" ht="28.8" x14ac:dyDescent="0.3">
      <c r="B351" s="1" t="s">
        <v>0</v>
      </c>
      <c r="C351" s="2" t="s">
        <v>1</v>
      </c>
      <c r="D351" s="2" t="s">
        <v>2</v>
      </c>
      <c r="E351" s="2" t="s">
        <v>3</v>
      </c>
    </row>
    <row r="352" spans="2:5" x14ac:dyDescent="0.3">
      <c r="B352" s="3" t="s">
        <v>4</v>
      </c>
      <c r="C352" s="1">
        <v>14491.02</v>
      </c>
      <c r="D352" s="1">
        <v>11608.87</v>
      </c>
      <c r="E352" s="1">
        <v>1300</v>
      </c>
    </row>
    <row r="353" spans="2:5" x14ac:dyDescent="0.3">
      <c r="B353" s="49" t="s">
        <v>32</v>
      </c>
      <c r="C353" s="50"/>
      <c r="D353" s="51"/>
      <c r="E353" s="1">
        <f>C352-E352</f>
        <v>13191.02</v>
      </c>
    </row>
    <row r="355" spans="2:5" ht="28.8" x14ac:dyDescent="0.3">
      <c r="B355" s="60" t="s">
        <v>37</v>
      </c>
      <c r="C355" s="51"/>
      <c r="D355" s="21" t="s">
        <v>41</v>
      </c>
      <c r="E355" s="3"/>
    </row>
    <row r="356" spans="2:5" x14ac:dyDescent="0.3">
      <c r="B356" s="60" t="s">
        <v>38</v>
      </c>
      <c r="C356" s="51"/>
      <c r="D356" s="1">
        <v>0</v>
      </c>
      <c r="E356" s="1"/>
    </row>
    <row r="357" spans="2:5" x14ac:dyDescent="0.3">
      <c r="B357" s="52"/>
      <c r="C357" s="51"/>
      <c r="D357" s="1"/>
      <c r="E357" s="1"/>
    </row>
    <row r="358" spans="2:5" x14ac:dyDescent="0.3">
      <c r="B358" s="52"/>
      <c r="C358" s="51"/>
      <c r="D358" s="1">
        <v>0</v>
      </c>
      <c r="E358" s="1"/>
    </row>
    <row r="359" spans="2:5" x14ac:dyDescent="0.3">
      <c r="B359" s="3" t="s">
        <v>40</v>
      </c>
      <c r="C359" s="1"/>
      <c r="D359" s="1">
        <v>0</v>
      </c>
      <c r="E359" s="1"/>
    </row>
    <row r="360" spans="2:5" x14ac:dyDescent="0.3">
      <c r="B360" s="52" t="s">
        <v>473</v>
      </c>
      <c r="C360" s="51"/>
      <c r="D360" s="1">
        <v>1300</v>
      </c>
      <c r="E360" s="1"/>
    </row>
    <row r="361" spans="2:5" x14ac:dyDescent="0.3">
      <c r="B361" s="52"/>
      <c r="C361" s="51"/>
      <c r="D361" s="1"/>
      <c r="E361" s="1"/>
    </row>
    <row r="362" spans="2:5" x14ac:dyDescent="0.3">
      <c r="B362" s="52"/>
      <c r="C362" s="51"/>
      <c r="D362" s="1"/>
      <c r="E362" s="1"/>
    </row>
    <row r="363" spans="2:5" x14ac:dyDescent="0.3">
      <c r="B363" s="61" t="s">
        <v>47</v>
      </c>
      <c r="C363" s="51"/>
      <c r="D363" s="1">
        <v>0</v>
      </c>
      <c r="E363" s="1"/>
    </row>
    <row r="364" spans="2:5" x14ac:dyDescent="0.3">
      <c r="B364" s="52"/>
      <c r="C364" s="51"/>
      <c r="D364" s="1"/>
      <c r="E364" s="1"/>
    </row>
    <row r="365" spans="2:5" x14ac:dyDescent="0.3">
      <c r="B365" s="52"/>
      <c r="C365" s="51"/>
      <c r="D365" s="1"/>
      <c r="E365" s="1"/>
    </row>
    <row r="366" spans="2:5" x14ac:dyDescent="0.3">
      <c r="B366" s="56" t="s">
        <v>52</v>
      </c>
      <c r="C366" s="57"/>
      <c r="D366" s="1">
        <v>0</v>
      </c>
      <c r="E366" s="1"/>
    </row>
    <row r="367" spans="2:5" x14ac:dyDescent="0.3">
      <c r="B367" s="52"/>
      <c r="C367" s="51"/>
      <c r="D367" s="1"/>
      <c r="E367" s="1"/>
    </row>
    <row r="368" spans="2:5" x14ac:dyDescent="0.3">
      <c r="B368" s="59" t="s">
        <v>42</v>
      </c>
      <c r="C368" s="51"/>
      <c r="D368" s="3">
        <f>SUM(D356:D367)</f>
        <v>1300</v>
      </c>
      <c r="E368" s="1"/>
    </row>
    <row r="369" spans="2:5" x14ac:dyDescent="0.3">
      <c r="B369" s="14"/>
      <c r="C369" s="14"/>
      <c r="D369" s="14"/>
      <c r="E369" s="14"/>
    </row>
    <row r="370" spans="2:5" x14ac:dyDescent="0.3">
      <c r="B370" t="s">
        <v>11</v>
      </c>
    </row>
    <row r="371" spans="2:5" x14ac:dyDescent="0.3">
      <c r="B371" t="s">
        <v>12</v>
      </c>
      <c r="C371" t="s">
        <v>13</v>
      </c>
    </row>
  </sheetData>
  <mergeCells count="174">
    <mergeCell ref="B363:C363"/>
    <mergeCell ref="B364:C364"/>
    <mergeCell ref="B365:C365"/>
    <mergeCell ref="B366:C366"/>
    <mergeCell ref="B367:C367"/>
    <mergeCell ref="B368:C368"/>
    <mergeCell ref="B353:D353"/>
    <mergeCell ref="B355:C355"/>
    <mergeCell ref="B356:C356"/>
    <mergeCell ref="B357:C357"/>
    <mergeCell ref="B358:C358"/>
    <mergeCell ref="B360:C360"/>
    <mergeCell ref="B361:C361"/>
    <mergeCell ref="B362:C362"/>
    <mergeCell ref="B12:D12"/>
    <mergeCell ref="B38:D38"/>
    <mergeCell ref="B64:D64"/>
    <mergeCell ref="B94:D94"/>
    <mergeCell ref="B121:D121"/>
    <mergeCell ref="B155:D155"/>
    <mergeCell ref="B182:D182"/>
    <mergeCell ref="B210:D210"/>
    <mergeCell ref="B240:D240"/>
    <mergeCell ref="B15:C15"/>
    <mergeCell ref="B16:C16"/>
    <mergeCell ref="B18:C18"/>
    <mergeCell ref="B19:C19"/>
    <mergeCell ref="B24:C24"/>
    <mergeCell ref="B25:C25"/>
    <mergeCell ref="B13:C13"/>
    <mergeCell ref="B14:C14"/>
    <mergeCell ref="B20:C20"/>
    <mergeCell ref="B21:C21"/>
    <mergeCell ref="B22:C22"/>
    <mergeCell ref="B23:C23"/>
    <mergeCell ref="B40:C40"/>
    <mergeCell ref="B41:C41"/>
    <mergeCell ref="B42:C42"/>
    <mergeCell ref="B322:D322"/>
    <mergeCell ref="B267:D267"/>
    <mergeCell ref="B294:D294"/>
    <mergeCell ref="B50:C50"/>
    <mergeCell ref="B51:C51"/>
    <mergeCell ref="B52:C52"/>
    <mergeCell ref="B46:C46"/>
    <mergeCell ref="B47:C47"/>
    <mergeCell ref="B48:C48"/>
    <mergeCell ref="B49:C49"/>
    <mergeCell ref="B108:C108"/>
    <mergeCell ref="B104:C104"/>
    <mergeCell ref="B105:C105"/>
    <mergeCell ref="B106:C106"/>
    <mergeCell ref="B107:C107"/>
    <mergeCell ref="B98:C98"/>
    <mergeCell ref="B99:C99"/>
    <mergeCell ref="B101:C101"/>
    <mergeCell ref="B102:C102"/>
    <mergeCell ref="B103:C103"/>
    <mergeCell ref="B157:C157"/>
    <mergeCell ref="B158:C158"/>
    <mergeCell ref="B159:C159"/>
    <mergeCell ref="B160:C160"/>
    <mergeCell ref="B43:C43"/>
    <mergeCell ref="B45:C45"/>
    <mergeCell ref="B78:C78"/>
    <mergeCell ref="B66:C66"/>
    <mergeCell ref="B67:C67"/>
    <mergeCell ref="B96:C96"/>
    <mergeCell ref="B97:C97"/>
    <mergeCell ref="B73:C73"/>
    <mergeCell ref="B76:C76"/>
    <mergeCell ref="B77:C77"/>
    <mergeCell ref="B68:C68"/>
    <mergeCell ref="B69:C69"/>
    <mergeCell ref="B71:C71"/>
    <mergeCell ref="B72:C72"/>
    <mergeCell ref="B74:C74"/>
    <mergeCell ref="B162:C162"/>
    <mergeCell ref="B138:C138"/>
    <mergeCell ref="B139:C139"/>
    <mergeCell ref="B123:C123"/>
    <mergeCell ref="B124:C124"/>
    <mergeCell ref="B125:C125"/>
    <mergeCell ref="B126:C126"/>
    <mergeCell ref="B128:C128"/>
    <mergeCell ref="B129:C129"/>
    <mergeCell ref="B134:C134"/>
    <mergeCell ref="B135:C135"/>
    <mergeCell ref="B136:C136"/>
    <mergeCell ref="B137:C137"/>
    <mergeCell ref="B168:C168"/>
    <mergeCell ref="B169:C169"/>
    <mergeCell ref="B184:C184"/>
    <mergeCell ref="B185:C185"/>
    <mergeCell ref="B186:C186"/>
    <mergeCell ref="B163:C163"/>
    <mergeCell ref="B164:C164"/>
    <mergeCell ref="B165:C165"/>
    <mergeCell ref="B166:C166"/>
    <mergeCell ref="B167:C167"/>
    <mergeCell ref="B193:C193"/>
    <mergeCell ref="B194:C194"/>
    <mergeCell ref="B195:C195"/>
    <mergeCell ref="B196:C196"/>
    <mergeCell ref="B212:C212"/>
    <mergeCell ref="B187:C187"/>
    <mergeCell ref="B189:C189"/>
    <mergeCell ref="B190:C190"/>
    <mergeCell ref="B191:C191"/>
    <mergeCell ref="B192:C192"/>
    <mergeCell ref="B220:C220"/>
    <mergeCell ref="B221:C221"/>
    <mergeCell ref="B222:C222"/>
    <mergeCell ref="B223:C223"/>
    <mergeCell ref="B224:C224"/>
    <mergeCell ref="B213:C213"/>
    <mergeCell ref="B214:C214"/>
    <mergeCell ref="B216:C216"/>
    <mergeCell ref="B218:C218"/>
    <mergeCell ref="B219:C219"/>
    <mergeCell ref="B247:C247"/>
    <mergeCell ref="B248:C248"/>
    <mergeCell ref="B249:C249"/>
    <mergeCell ref="B250:C250"/>
    <mergeCell ref="B251:C251"/>
    <mergeCell ref="B225:C225"/>
    <mergeCell ref="B242:C242"/>
    <mergeCell ref="B243:C243"/>
    <mergeCell ref="B244:C244"/>
    <mergeCell ref="B245:C245"/>
    <mergeCell ref="B271:C271"/>
    <mergeCell ref="B272:C272"/>
    <mergeCell ref="B274:C274"/>
    <mergeCell ref="B275:C275"/>
    <mergeCell ref="B276:C276"/>
    <mergeCell ref="B252:C252"/>
    <mergeCell ref="B253:C253"/>
    <mergeCell ref="B254:C254"/>
    <mergeCell ref="B269:C269"/>
    <mergeCell ref="B270:C270"/>
    <mergeCell ref="B296:C296"/>
    <mergeCell ref="B297:C297"/>
    <mergeCell ref="B298:C298"/>
    <mergeCell ref="B299:C299"/>
    <mergeCell ref="B301:C301"/>
    <mergeCell ref="B277:C277"/>
    <mergeCell ref="B278:C278"/>
    <mergeCell ref="B279:C279"/>
    <mergeCell ref="B280:C280"/>
    <mergeCell ref="B281:C281"/>
    <mergeCell ref="B333:C333"/>
    <mergeCell ref="B334:C334"/>
    <mergeCell ref="B335:C335"/>
    <mergeCell ref="B336:C336"/>
    <mergeCell ref="B130:C130"/>
    <mergeCell ref="B132:C132"/>
    <mergeCell ref="B131:C131"/>
    <mergeCell ref="B133:C133"/>
    <mergeCell ref="B215:C215"/>
    <mergeCell ref="B327:C327"/>
    <mergeCell ref="B329:C329"/>
    <mergeCell ref="B330:C330"/>
    <mergeCell ref="B331:C331"/>
    <mergeCell ref="B332:C332"/>
    <mergeCell ref="B307:C307"/>
    <mergeCell ref="B308:C308"/>
    <mergeCell ref="B324:C324"/>
    <mergeCell ref="B325:C325"/>
    <mergeCell ref="B326:C326"/>
    <mergeCell ref="B302:C302"/>
    <mergeCell ref="B303:C303"/>
    <mergeCell ref="B304:C304"/>
    <mergeCell ref="B305:C305"/>
    <mergeCell ref="B306:C306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3"/>
  <sheetViews>
    <sheetView topLeftCell="A119" workbookViewId="0">
      <selection activeCell="G102" sqref="G102"/>
    </sheetView>
  </sheetViews>
  <sheetFormatPr defaultRowHeight="14.4" x14ac:dyDescent="0.3"/>
  <cols>
    <col min="1" max="1" width="18.6640625" customWidth="1"/>
    <col min="2" max="2" width="16.5546875" customWidth="1"/>
    <col min="3" max="3" width="13" customWidth="1"/>
  </cols>
  <sheetData>
    <row r="3" spans="1:4" ht="15.6" x14ac:dyDescent="0.3">
      <c r="B3" s="4" t="s">
        <v>5</v>
      </c>
      <c r="C3" s="4"/>
    </row>
    <row r="4" spans="1:4" ht="15.6" x14ac:dyDescent="0.3">
      <c r="B4" s="4" t="s">
        <v>6</v>
      </c>
      <c r="C4" s="4"/>
    </row>
    <row r="5" spans="1:4" x14ac:dyDescent="0.3">
      <c r="A5" s="5" t="s">
        <v>7</v>
      </c>
      <c r="B5" s="5"/>
      <c r="C5" s="5"/>
      <c r="D5" s="5"/>
    </row>
    <row r="6" spans="1:4" x14ac:dyDescent="0.3">
      <c r="A6" s="5"/>
      <c r="B6" s="5" t="s">
        <v>30</v>
      </c>
      <c r="C6" s="5"/>
      <c r="D6" s="5"/>
    </row>
    <row r="7" spans="1:4" x14ac:dyDescent="0.3">
      <c r="A7" t="s">
        <v>28</v>
      </c>
      <c r="B7" t="s">
        <v>29</v>
      </c>
      <c r="C7" s="6">
        <v>2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4</v>
      </c>
      <c r="B11" s="1">
        <v>3333.84</v>
      </c>
      <c r="C11" s="1">
        <v>3582.96</v>
      </c>
      <c r="D11" s="1">
        <v>0</v>
      </c>
    </row>
    <row r="12" spans="1:4" x14ac:dyDescent="0.3">
      <c r="A12" s="49" t="s">
        <v>10</v>
      </c>
      <c r="B12" s="50"/>
      <c r="C12" s="51"/>
      <c r="D12" s="1">
        <f>B11-D11</f>
        <v>3333.84</v>
      </c>
    </row>
    <row r="19" spans="1:4" x14ac:dyDescent="0.3">
      <c r="A19" t="s">
        <v>11</v>
      </c>
    </row>
    <row r="21" spans="1:4" x14ac:dyDescent="0.3">
      <c r="A21" t="s">
        <v>12</v>
      </c>
      <c r="B21" t="s">
        <v>13</v>
      </c>
    </row>
    <row r="26" spans="1:4" ht="15.6" x14ac:dyDescent="0.3">
      <c r="B26" s="4" t="s">
        <v>5</v>
      </c>
      <c r="C26" s="4"/>
    </row>
    <row r="27" spans="1:4" ht="15.6" x14ac:dyDescent="0.3">
      <c r="B27" s="4" t="s">
        <v>6</v>
      </c>
      <c r="C27" s="4"/>
    </row>
    <row r="28" spans="1:4" x14ac:dyDescent="0.3">
      <c r="A28" s="5" t="s">
        <v>7</v>
      </c>
      <c r="B28" s="5"/>
      <c r="C28" s="5"/>
      <c r="D28" s="5"/>
    </row>
    <row r="29" spans="1:4" x14ac:dyDescent="0.3">
      <c r="A29" s="5"/>
      <c r="B29" s="5" t="s">
        <v>30</v>
      </c>
      <c r="C29" s="5"/>
      <c r="D29" s="5"/>
    </row>
    <row r="30" spans="1:4" x14ac:dyDescent="0.3">
      <c r="A30" t="s">
        <v>28</v>
      </c>
      <c r="B30" t="s">
        <v>29</v>
      </c>
      <c r="C30" s="6">
        <v>3</v>
      </c>
    </row>
    <row r="33" spans="1:4" ht="28.8" x14ac:dyDescent="0.3">
      <c r="A33" s="1" t="s">
        <v>0</v>
      </c>
      <c r="B33" s="2" t="s">
        <v>1</v>
      </c>
      <c r="C33" s="2" t="s">
        <v>2</v>
      </c>
      <c r="D33" s="2" t="s">
        <v>3</v>
      </c>
    </row>
    <row r="34" spans="1:4" x14ac:dyDescent="0.3">
      <c r="A34" s="3" t="s">
        <v>4</v>
      </c>
      <c r="B34" s="1">
        <v>3258.96</v>
      </c>
      <c r="C34" s="1">
        <v>911.98</v>
      </c>
      <c r="D34" s="1">
        <v>0</v>
      </c>
    </row>
    <row r="35" spans="1:4" x14ac:dyDescent="0.3">
      <c r="A35" s="49" t="s">
        <v>10</v>
      </c>
      <c r="B35" s="50"/>
      <c r="C35" s="51"/>
      <c r="D35" s="1">
        <f>B34-D34</f>
        <v>3258.96</v>
      </c>
    </row>
    <row r="42" spans="1:4" x14ac:dyDescent="0.3">
      <c r="A42" t="s">
        <v>11</v>
      </c>
    </row>
    <row r="44" spans="1:4" x14ac:dyDescent="0.3">
      <c r="A44" t="s">
        <v>12</v>
      </c>
      <c r="B44" t="s">
        <v>13</v>
      </c>
    </row>
    <row r="48" spans="1:4" ht="15.6" x14ac:dyDescent="0.3">
      <c r="B48" s="4" t="s">
        <v>5</v>
      </c>
      <c r="C48" s="4"/>
    </row>
    <row r="49" spans="1:4" ht="15.6" x14ac:dyDescent="0.3">
      <c r="B49" s="4" t="s">
        <v>6</v>
      </c>
      <c r="C49" s="4"/>
    </row>
    <row r="50" spans="1:4" x14ac:dyDescent="0.3">
      <c r="A50" s="5" t="s">
        <v>7</v>
      </c>
      <c r="B50" s="5"/>
      <c r="C50" s="5"/>
      <c r="D50" s="5"/>
    </row>
    <row r="51" spans="1:4" x14ac:dyDescent="0.3">
      <c r="A51" s="5"/>
      <c r="B51" s="5" t="s">
        <v>30</v>
      </c>
      <c r="C51" s="5"/>
      <c r="D51" s="5"/>
    </row>
    <row r="52" spans="1:4" x14ac:dyDescent="0.3">
      <c r="A52" t="s">
        <v>28</v>
      </c>
      <c r="B52" t="s">
        <v>29</v>
      </c>
      <c r="C52" s="6">
        <v>4</v>
      </c>
    </row>
    <row r="55" spans="1:4" ht="28.8" x14ac:dyDescent="0.3">
      <c r="A55" s="1" t="s">
        <v>0</v>
      </c>
      <c r="B55" s="2" t="s">
        <v>1</v>
      </c>
      <c r="C55" s="2" t="s">
        <v>2</v>
      </c>
      <c r="D55" s="2" t="s">
        <v>3</v>
      </c>
    </row>
    <row r="56" spans="1:4" x14ac:dyDescent="0.3">
      <c r="A56" s="3" t="s">
        <v>4</v>
      </c>
      <c r="B56" s="1">
        <v>2936.4</v>
      </c>
      <c r="C56" s="1">
        <v>2856.41</v>
      </c>
      <c r="D56" s="1">
        <v>0</v>
      </c>
    </row>
    <row r="57" spans="1:4" x14ac:dyDescent="0.3">
      <c r="A57" s="49" t="s">
        <v>10</v>
      </c>
      <c r="B57" s="50"/>
      <c r="C57" s="51"/>
      <c r="D57" s="1">
        <f>B56-D56</f>
        <v>2936.4</v>
      </c>
    </row>
    <row r="64" spans="1:4" x14ac:dyDescent="0.3">
      <c r="A64" t="s">
        <v>11</v>
      </c>
    </row>
    <row r="66" spans="1:4" x14ac:dyDescent="0.3">
      <c r="A66" t="s">
        <v>12</v>
      </c>
      <c r="B66" t="s">
        <v>13</v>
      </c>
    </row>
    <row r="71" spans="1:4" ht="15.6" x14ac:dyDescent="0.3">
      <c r="B71" s="4" t="s">
        <v>5</v>
      </c>
      <c r="C71" s="4"/>
    </row>
    <row r="72" spans="1:4" ht="15.6" x14ac:dyDescent="0.3">
      <c r="B72" s="4" t="s">
        <v>6</v>
      </c>
      <c r="C72" s="4"/>
    </row>
    <row r="73" spans="1:4" x14ac:dyDescent="0.3">
      <c r="A73" s="5" t="s">
        <v>7</v>
      </c>
      <c r="B73" s="5"/>
      <c r="C73" s="5"/>
      <c r="D73" s="5"/>
    </row>
    <row r="74" spans="1:4" x14ac:dyDescent="0.3">
      <c r="A74" s="5"/>
      <c r="B74" s="5" t="s">
        <v>30</v>
      </c>
      <c r="C74" s="5"/>
      <c r="D74" s="5"/>
    </row>
    <row r="75" spans="1:4" x14ac:dyDescent="0.3">
      <c r="A75" t="s">
        <v>28</v>
      </c>
      <c r="B75" t="s">
        <v>29</v>
      </c>
      <c r="C75" s="6">
        <v>6</v>
      </c>
    </row>
    <row r="78" spans="1:4" ht="28.8" x14ac:dyDescent="0.3">
      <c r="A78" s="1" t="s">
        <v>0</v>
      </c>
      <c r="B78" s="2" t="s">
        <v>1</v>
      </c>
      <c r="C78" s="2" t="s">
        <v>2</v>
      </c>
      <c r="D78" s="2" t="s">
        <v>3</v>
      </c>
    </row>
    <row r="79" spans="1:4" x14ac:dyDescent="0.3">
      <c r="A79" s="3" t="s">
        <v>4</v>
      </c>
      <c r="B79" s="1">
        <v>3272.82</v>
      </c>
      <c r="C79" s="1">
        <v>3506.93</v>
      </c>
      <c r="D79" s="1">
        <v>0</v>
      </c>
    </row>
    <row r="80" spans="1:4" x14ac:dyDescent="0.3">
      <c r="A80" s="49" t="s">
        <v>10</v>
      </c>
      <c r="B80" s="50"/>
      <c r="C80" s="51"/>
      <c r="D80" s="1">
        <f>B79-D79</f>
        <v>3272.82</v>
      </c>
    </row>
    <row r="87" spans="1:3" x14ac:dyDescent="0.3">
      <c r="A87" t="s">
        <v>11</v>
      </c>
    </row>
    <row r="89" spans="1:3" x14ac:dyDescent="0.3">
      <c r="A89" t="s">
        <v>12</v>
      </c>
      <c r="B89" t="s">
        <v>13</v>
      </c>
    </row>
    <row r="95" spans="1:3" ht="15.6" x14ac:dyDescent="0.3">
      <c r="B95" s="4" t="s">
        <v>5</v>
      </c>
      <c r="C95" s="4"/>
    </row>
    <row r="96" spans="1:3" ht="15.6" x14ac:dyDescent="0.3">
      <c r="B96" s="4" t="s">
        <v>6</v>
      </c>
      <c r="C96" s="4"/>
    </row>
    <row r="97" spans="1:4" x14ac:dyDescent="0.3">
      <c r="A97" s="5" t="s">
        <v>7</v>
      </c>
      <c r="B97" s="5"/>
      <c r="C97" s="5"/>
      <c r="D97" s="5"/>
    </row>
    <row r="98" spans="1:4" x14ac:dyDescent="0.3">
      <c r="A98" s="5"/>
      <c r="B98" s="5" t="s">
        <v>30</v>
      </c>
      <c r="C98" s="5"/>
      <c r="D98" s="5"/>
    </row>
    <row r="99" spans="1:4" x14ac:dyDescent="0.3">
      <c r="A99" t="s">
        <v>28</v>
      </c>
      <c r="B99" t="s">
        <v>29</v>
      </c>
      <c r="C99" s="6">
        <v>7</v>
      </c>
    </row>
    <row r="102" spans="1:4" ht="28.8" x14ac:dyDescent="0.3">
      <c r="A102" s="1" t="s">
        <v>0</v>
      </c>
      <c r="B102" s="2" t="s">
        <v>1</v>
      </c>
      <c r="C102" s="2" t="s">
        <v>2</v>
      </c>
      <c r="D102" s="2" t="s">
        <v>3</v>
      </c>
    </row>
    <row r="103" spans="1:4" x14ac:dyDescent="0.3">
      <c r="A103" s="3" t="s">
        <v>4</v>
      </c>
      <c r="B103" s="1">
        <v>7654.74</v>
      </c>
      <c r="C103" s="1">
        <v>7654.8</v>
      </c>
      <c r="D103" s="1">
        <v>5800</v>
      </c>
    </row>
    <row r="104" spans="1:4" x14ac:dyDescent="0.3">
      <c r="A104" s="49" t="s">
        <v>10</v>
      </c>
      <c r="B104" s="50"/>
      <c r="C104" s="51"/>
      <c r="D104" s="1">
        <f>B103-D103</f>
        <v>1854.7399999999998</v>
      </c>
    </row>
    <row r="111" spans="1:4" x14ac:dyDescent="0.3">
      <c r="A111" t="s">
        <v>11</v>
      </c>
    </row>
    <row r="113" spans="1:2" x14ac:dyDescent="0.3">
      <c r="A113" t="s">
        <v>12</v>
      </c>
      <c r="B113" t="s">
        <v>13</v>
      </c>
    </row>
  </sheetData>
  <mergeCells count="5">
    <mergeCell ref="A12:C12"/>
    <mergeCell ref="A35:C35"/>
    <mergeCell ref="A57:C57"/>
    <mergeCell ref="A80:C80"/>
    <mergeCell ref="A104:C10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7"/>
  <sheetViews>
    <sheetView topLeftCell="A92" workbookViewId="0">
      <selection activeCell="A102" sqref="A102:D117"/>
    </sheetView>
  </sheetViews>
  <sheetFormatPr defaultRowHeight="14.4" x14ac:dyDescent="0.3"/>
  <cols>
    <col min="1" max="1" width="18.77734375" customWidth="1"/>
    <col min="2" max="2" width="13.44140625" customWidth="1"/>
    <col min="3" max="3" width="11.44140625" customWidth="1"/>
    <col min="4" max="4" width="15.33203125" customWidth="1"/>
  </cols>
  <sheetData>
    <row r="3" spans="1:4" ht="15.6" x14ac:dyDescent="0.3">
      <c r="B3" s="4" t="s">
        <v>5</v>
      </c>
      <c r="C3" s="4"/>
    </row>
    <row r="4" spans="1:4" ht="15.6" x14ac:dyDescent="0.3">
      <c r="B4" s="4" t="s">
        <v>6</v>
      </c>
      <c r="C4" s="4"/>
    </row>
    <row r="5" spans="1:4" x14ac:dyDescent="0.3">
      <c r="A5" s="5" t="s">
        <v>7</v>
      </c>
      <c r="B5" s="5"/>
      <c r="C5" s="5"/>
      <c r="D5" s="5"/>
    </row>
    <row r="6" spans="1:4" x14ac:dyDescent="0.3">
      <c r="A6" s="5"/>
      <c r="B6" s="5" t="s">
        <v>30</v>
      </c>
      <c r="C6" s="5"/>
      <c r="D6" s="5"/>
    </row>
    <row r="7" spans="1:4" x14ac:dyDescent="0.3">
      <c r="A7" s="85" t="s">
        <v>21</v>
      </c>
      <c r="B7" s="85"/>
      <c r="C7" s="6">
        <v>1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4</v>
      </c>
      <c r="B11" s="1">
        <v>2493.06</v>
      </c>
      <c r="C11" s="1">
        <v>1930.7</v>
      </c>
      <c r="D11" s="1">
        <v>16600</v>
      </c>
    </row>
    <row r="12" spans="1:4" x14ac:dyDescent="0.3">
      <c r="A12" s="49" t="s">
        <v>32</v>
      </c>
      <c r="B12" s="50"/>
      <c r="C12" s="51"/>
      <c r="D12" s="1">
        <f>B11-D11</f>
        <v>-14106.94</v>
      </c>
    </row>
    <row r="14" spans="1:4" ht="28.8" x14ac:dyDescent="0.3">
      <c r="A14" s="60" t="s">
        <v>37</v>
      </c>
      <c r="B14" s="51"/>
      <c r="C14" s="21" t="s">
        <v>41</v>
      </c>
      <c r="D14" s="3"/>
    </row>
    <row r="15" spans="1:4" x14ac:dyDescent="0.3">
      <c r="A15" s="60" t="s">
        <v>38</v>
      </c>
      <c r="B15" s="51"/>
      <c r="C15" s="1">
        <v>0</v>
      </c>
      <c r="D15" s="1"/>
    </row>
    <row r="16" spans="1:4" x14ac:dyDescent="0.3">
      <c r="A16" s="52"/>
      <c r="B16" s="51"/>
      <c r="C16" s="1"/>
      <c r="D16" s="1"/>
    </row>
    <row r="17" spans="1:4" x14ac:dyDescent="0.3">
      <c r="A17" s="52"/>
      <c r="B17" s="51"/>
      <c r="C17" s="1">
        <v>0</v>
      </c>
      <c r="D17" s="1"/>
    </row>
    <row r="18" spans="1:4" x14ac:dyDescent="0.3">
      <c r="A18" s="3" t="s">
        <v>40</v>
      </c>
      <c r="B18" s="1"/>
      <c r="C18" s="1">
        <v>0</v>
      </c>
      <c r="D18" s="1"/>
    </row>
    <row r="19" spans="1:4" x14ac:dyDescent="0.3">
      <c r="A19" s="52"/>
      <c r="B19" s="51"/>
      <c r="C19" s="1"/>
      <c r="D19" s="1"/>
    </row>
    <row r="20" spans="1:4" x14ac:dyDescent="0.3">
      <c r="A20" s="52"/>
      <c r="B20" s="51"/>
      <c r="C20" s="1"/>
      <c r="D20" s="1"/>
    </row>
    <row r="21" spans="1:4" x14ac:dyDescent="0.3">
      <c r="A21" s="61" t="s">
        <v>47</v>
      </c>
      <c r="B21" s="51"/>
      <c r="C21" s="1">
        <v>0</v>
      </c>
      <c r="D21" s="1"/>
    </row>
    <row r="22" spans="1:4" x14ac:dyDescent="0.3">
      <c r="A22" s="52" t="s">
        <v>64</v>
      </c>
      <c r="B22" s="51"/>
      <c r="C22" s="1">
        <f>300+300</f>
        <v>600</v>
      </c>
      <c r="D22" s="1"/>
    </row>
    <row r="23" spans="1:4" ht="28.8" customHeight="1" x14ac:dyDescent="0.3">
      <c r="A23" s="52" t="s">
        <v>110</v>
      </c>
      <c r="B23" s="51"/>
      <c r="C23" s="1">
        <f>1200+6700+6800+1300</f>
        <v>16000</v>
      </c>
      <c r="D23" s="1"/>
    </row>
    <row r="24" spans="1:4" x14ac:dyDescent="0.3">
      <c r="A24" s="56" t="s">
        <v>52</v>
      </c>
      <c r="B24" s="57"/>
      <c r="C24" s="1">
        <v>0</v>
      </c>
      <c r="D24" s="1"/>
    </row>
    <row r="25" spans="1:4" x14ac:dyDescent="0.3">
      <c r="A25" s="52" t="s">
        <v>53</v>
      </c>
      <c r="B25" s="51"/>
      <c r="C25" s="1"/>
      <c r="D25" s="1"/>
    </row>
    <row r="26" spans="1:4" x14ac:dyDescent="0.3">
      <c r="A26" s="59" t="s">
        <v>42</v>
      </c>
      <c r="B26" s="51"/>
      <c r="C26" s="3">
        <f>SUM(C15:C25)</f>
        <v>16600</v>
      </c>
      <c r="D26" s="1"/>
    </row>
    <row r="27" spans="1:4" x14ac:dyDescent="0.3">
      <c r="A27" s="14"/>
      <c r="B27" s="14"/>
      <c r="C27" s="14"/>
      <c r="D27" s="14"/>
    </row>
    <row r="28" spans="1:4" x14ac:dyDescent="0.3">
      <c r="A28" t="s">
        <v>11</v>
      </c>
    </row>
    <row r="29" spans="1:4" x14ac:dyDescent="0.3">
      <c r="A29" t="s">
        <v>12</v>
      </c>
      <c r="B29" t="s">
        <v>13</v>
      </c>
    </row>
    <row r="30" spans="1:4" ht="15.6" x14ac:dyDescent="0.3">
      <c r="B30" s="4" t="s">
        <v>5</v>
      </c>
      <c r="C30" s="4"/>
    </row>
    <row r="31" spans="1:4" ht="15.6" x14ac:dyDescent="0.3">
      <c r="B31" s="4" t="s">
        <v>6</v>
      </c>
      <c r="C31" s="4"/>
    </row>
    <row r="32" spans="1:4" x14ac:dyDescent="0.3">
      <c r="A32" s="5" t="s">
        <v>7</v>
      </c>
      <c r="B32" s="5"/>
      <c r="C32" s="5"/>
      <c r="D32" s="5"/>
    </row>
    <row r="33" spans="1:4" x14ac:dyDescent="0.3">
      <c r="A33" s="5"/>
      <c r="B33" s="5" t="s">
        <v>30</v>
      </c>
      <c r="C33" s="5"/>
      <c r="D33" s="5"/>
    </row>
    <row r="34" spans="1:4" x14ac:dyDescent="0.3">
      <c r="A34" s="85" t="s">
        <v>21</v>
      </c>
      <c r="B34" s="85"/>
      <c r="C34" s="6">
        <v>2</v>
      </c>
    </row>
    <row r="37" spans="1:4" ht="28.8" x14ac:dyDescent="0.3">
      <c r="A37" s="1" t="s">
        <v>0</v>
      </c>
      <c r="B37" s="2" t="s">
        <v>1</v>
      </c>
      <c r="C37" s="2" t="s">
        <v>2</v>
      </c>
      <c r="D37" s="2" t="s">
        <v>3</v>
      </c>
    </row>
    <row r="38" spans="1:4" x14ac:dyDescent="0.3">
      <c r="A38" s="3" t="s">
        <v>4</v>
      </c>
      <c r="B38" s="1">
        <v>999</v>
      </c>
      <c r="C38" s="1">
        <v>874.97</v>
      </c>
      <c r="D38" s="1">
        <v>4300</v>
      </c>
    </row>
    <row r="39" spans="1:4" x14ac:dyDescent="0.3">
      <c r="A39" s="49" t="s">
        <v>32</v>
      </c>
      <c r="B39" s="50"/>
      <c r="C39" s="51"/>
      <c r="D39" s="1">
        <f>B38-D38</f>
        <v>-3301</v>
      </c>
    </row>
    <row r="41" spans="1:4" ht="28.8" x14ac:dyDescent="0.3">
      <c r="A41" s="60" t="s">
        <v>37</v>
      </c>
      <c r="B41" s="51"/>
      <c r="C41" s="21" t="s">
        <v>41</v>
      </c>
      <c r="D41" s="3"/>
    </row>
    <row r="42" spans="1:4" x14ac:dyDescent="0.3">
      <c r="A42" s="60" t="s">
        <v>38</v>
      </c>
      <c r="B42" s="51"/>
      <c r="C42" s="1">
        <v>0</v>
      </c>
      <c r="D42" s="1"/>
    </row>
    <row r="43" spans="1:4" x14ac:dyDescent="0.3">
      <c r="A43" s="52"/>
      <c r="B43" s="51"/>
      <c r="C43" s="1"/>
      <c r="D43" s="1"/>
    </row>
    <row r="44" spans="1:4" x14ac:dyDescent="0.3">
      <c r="A44" s="52"/>
      <c r="B44" s="51"/>
      <c r="C44" s="1">
        <v>0</v>
      </c>
      <c r="D44" s="1"/>
    </row>
    <row r="45" spans="1:4" x14ac:dyDescent="0.3">
      <c r="A45" s="3" t="s">
        <v>40</v>
      </c>
      <c r="B45" s="1"/>
      <c r="C45" s="1">
        <v>0</v>
      </c>
      <c r="D45" s="1"/>
    </row>
    <row r="46" spans="1:4" x14ac:dyDescent="0.3">
      <c r="A46" s="52"/>
      <c r="B46" s="51"/>
      <c r="C46" s="1"/>
      <c r="D46" s="1"/>
    </row>
    <row r="47" spans="1:4" x14ac:dyDescent="0.3">
      <c r="A47" s="52"/>
      <c r="B47" s="51"/>
      <c r="C47" s="1"/>
      <c r="D47" s="1"/>
    </row>
    <row r="48" spans="1:4" ht="14.4" customHeight="1" x14ac:dyDescent="0.3">
      <c r="A48" s="61" t="s">
        <v>47</v>
      </c>
      <c r="B48" s="51"/>
      <c r="C48" s="1">
        <v>0</v>
      </c>
      <c r="D48" s="1"/>
    </row>
    <row r="49" spans="1:4" x14ac:dyDescent="0.3">
      <c r="A49" s="52" t="s">
        <v>95</v>
      </c>
      <c r="B49" s="51"/>
      <c r="C49" s="1">
        <v>4300</v>
      </c>
      <c r="D49" s="1"/>
    </row>
    <row r="50" spans="1:4" x14ac:dyDescent="0.3">
      <c r="A50" s="52"/>
      <c r="B50" s="51"/>
      <c r="C50" s="1"/>
      <c r="D50" s="1"/>
    </row>
    <row r="51" spans="1:4" x14ac:dyDescent="0.3">
      <c r="A51" s="56" t="s">
        <v>52</v>
      </c>
      <c r="B51" s="57"/>
      <c r="C51" s="1">
        <v>0</v>
      </c>
      <c r="D51" s="1"/>
    </row>
    <row r="52" spans="1:4" x14ac:dyDescent="0.3">
      <c r="A52" s="52" t="s">
        <v>53</v>
      </c>
      <c r="B52" s="51"/>
      <c r="C52" s="1"/>
      <c r="D52" s="1"/>
    </row>
    <row r="53" spans="1:4" x14ac:dyDescent="0.3">
      <c r="A53" s="59" t="s">
        <v>42</v>
      </c>
      <c r="B53" s="51"/>
      <c r="C53" s="3">
        <f>SUM(C42:C52)</f>
        <v>4300</v>
      </c>
      <c r="D53" s="1"/>
    </row>
    <row r="54" spans="1:4" x14ac:dyDescent="0.3">
      <c r="A54" s="14"/>
      <c r="B54" s="14"/>
      <c r="C54" s="14"/>
      <c r="D54" s="14"/>
    </row>
    <row r="55" spans="1:4" x14ac:dyDescent="0.3">
      <c r="A55" t="s">
        <v>11</v>
      </c>
    </row>
    <row r="56" spans="1:4" x14ac:dyDescent="0.3">
      <c r="A56" t="s">
        <v>12</v>
      </c>
      <c r="B56" t="s">
        <v>13</v>
      </c>
    </row>
    <row r="61" spans="1:4" ht="15.6" x14ac:dyDescent="0.3">
      <c r="B61" s="4" t="s">
        <v>5</v>
      </c>
      <c r="C61" s="4"/>
    </row>
    <row r="62" spans="1:4" ht="15.6" x14ac:dyDescent="0.3">
      <c r="B62" s="4" t="s">
        <v>6</v>
      </c>
      <c r="C62" s="4"/>
    </row>
    <row r="63" spans="1:4" x14ac:dyDescent="0.3">
      <c r="A63" s="5" t="s">
        <v>7</v>
      </c>
      <c r="B63" s="5"/>
      <c r="C63" s="5"/>
      <c r="D63" s="5"/>
    </row>
    <row r="64" spans="1:4" x14ac:dyDescent="0.3">
      <c r="A64" s="5"/>
      <c r="B64" s="5" t="s">
        <v>30</v>
      </c>
      <c r="C64" s="5"/>
      <c r="D64" s="5"/>
    </row>
    <row r="65" spans="1:4" x14ac:dyDescent="0.3">
      <c r="A65" s="85" t="s">
        <v>21</v>
      </c>
      <c r="B65" s="85"/>
      <c r="C65" s="6">
        <v>4</v>
      </c>
    </row>
    <row r="68" spans="1:4" ht="28.8" x14ac:dyDescent="0.3">
      <c r="A68" s="1" t="s">
        <v>0</v>
      </c>
      <c r="B68" s="2" t="s">
        <v>1</v>
      </c>
      <c r="C68" s="2" t="s">
        <v>2</v>
      </c>
      <c r="D68" s="2" t="s">
        <v>3</v>
      </c>
    </row>
    <row r="69" spans="1:4" x14ac:dyDescent="0.3">
      <c r="A69" s="3" t="s">
        <v>4</v>
      </c>
      <c r="B69" s="1">
        <v>1818.66</v>
      </c>
      <c r="C69" s="1">
        <v>532.14</v>
      </c>
      <c r="D69" s="1">
        <v>1200</v>
      </c>
    </row>
    <row r="70" spans="1:4" x14ac:dyDescent="0.3">
      <c r="A70" s="49" t="s">
        <v>10</v>
      </c>
      <c r="B70" s="50"/>
      <c r="C70" s="51"/>
      <c r="D70" s="1">
        <f>B69-D69</f>
        <v>618.66000000000008</v>
      </c>
    </row>
    <row r="72" spans="1:4" ht="28.8" x14ac:dyDescent="0.3">
      <c r="A72" s="60" t="s">
        <v>37</v>
      </c>
      <c r="B72" s="51"/>
      <c r="C72" s="21" t="s">
        <v>41</v>
      </c>
      <c r="D72" s="3"/>
    </row>
    <row r="73" spans="1:4" x14ac:dyDescent="0.3">
      <c r="A73" s="60" t="s">
        <v>38</v>
      </c>
      <c r="B73" s="51"/>
      <c r="C73" s="1">
        <v>0</v>
      </c>
      <c r="D73" s="1"/>
    </row>
    <row r="74" spans="1:4" x14ac:dyDescent="0.3">
      <c r="A74" s="52"/>
      <c r="B74" s="51"/>
      <c r="C74" s="1"/>
      <c r="D74" s="1"/>
    </row>
    <row r="75" spans="1:4" x14ac:dyDescent="0.3">
      <c r="A75" s="52"/>
      <c r="B75" s="51"/>
      <c r="C75" s="1">
        <v>0</v>
      </c>
      <c r="D75" s="1"/>
    </row>
    <row r="76" spans="1:4" x14ac:dyDescent="0.3">
      <c r="A76" s="3" t="s">
        <v>40</v>
      </c>
      <c r="B76" s="1"/>
      <c r="C76" s="1">
        <v>0</v>
      </c>
      <c r="D76" s="1"/>
    </row>
    <row r="77" spans="1:4" x14ac:dyDescent="0.3">
      <c r="A77" s="52"/>
      <c r="B77" s="51"/>
      <c r="C77" s="1"/>
      <c r="D77" s="1"/>
    </row>
    <row r="78" spans="1:4" x14ac:dyDescent="0.3">
      <c r="A78" s="52"/>
      <c r="B78" s="51"/>
      <c r="C78" s="1"/>
      <c r="D78" s="1"/>
    </row>
    <row r="79" spans="1:4" ht="14.4" customHeight="1" x14ac:dyDescent="0.3">
      <c r="A79" s="61" t="s">
        <v>47</v>
      </c>
      <c r="B79" s="51"/>
      <c r="C79" s="1">
        <v>0</v>
      </c>
      <c r="D79" s="1"/>
    </row>
    <row r="80" spans="1:4" ht="14.4" customHeight="1" x14ac:dyDescent="0.3">
      <c r="A80" s="52" t="s">
        <v>95</v>
      </c>
      <c r="B80" s="51"/>
      <c r="C80" s="1">
        <v>1200</v>
      </c>
      <c r="D80" s="1"/>
    </row>
    <row r="81" spans="1:4" x14ac:dyDescent="0.3">
      <c r="A81" s="52"/>
      <c r="B81" s="51"/>
      <c r="C81" s="1"/>
      <c r="D81" s="1"/>
    </row>
    <row r="82" spans="1:4" x14ac:dyDescent="0.3">
      <c r="A82" s="56" t="s">
        <v>52</v>
      </c>
      <c r="B82" s="57"/>
      <c r="C82" s="1">
        <v>0</v>
      </c>
      <c r="D82" s="1"/>
    </row>
    <row r="83" spans="1:4" ht="14.4" customHeight="1" x14ac:dyDescent="0.3">
      <c r="A83" s="52" t="s">
        <v>53</v>
      </c>
      <c r="B83" s="51"/>
      <c r="C83" s="1"/>
      <c r="D83" s="1"/>
    </row>
    <row r="84" spans="1:4" x14ac:dyDescent="0.3">
      <c r="A84" s="59" t="s">
        <v>42</v>
      </c>
      <c r="B84" s="51"/>
      <c r="C84" s="3">
        <f>SUM(C73:C83)</f>
        <v>1200</v>
      </c>
      <c r="D84" s="1"/>
    </row>
    <row r="85" spans="1:4" x14ac:dyDescent="0.3">
      <c r="A85" s="14"/>
      <c r="B85" s="14"/>
      <c r="C85" s="14"/>
      <c r="D85" s="14"/>
    </row>
    <row r="86" spans="1:4" x14ac:dyDescent="0.3">
      <c r="A86" t="s">
        <v>11</v>
      </c>
    </row>
    <row r="87" spans="1:4" x14ac:dyDescent="0.3">
      <c r="A87" t="s">
        <v>12</v>
      </c>
      <c r="B87" t="s">
        <v>13</v>
      </c>
    </row>
    <row r="91" spans="1:4" ht="15.6" x14ac:dyDescent="0.3">
      <c r="B91" s="4" t="s">
        <v>5</v>
      </c>
      <c r="C91" s="4"/>
    </row>
    <row r="92" spans="1:4" ht="15.6" x14ac:dyDescent="0.3">
      <c r="B92" s="4" t="s">
        <v>6</v>
      </c>
      <c r="C92" s="4"/>
    </row>
    <row r="93" spans="1:4" x14ac:dyDescent="0.3">
      <c r="A93" s="5" t="s">
        <v>7</v>
      </c>
      <c r="B93" s="5"/>
      <c r="C93" s="5"/>
      <c r="D93" s="5"/>
    </row>
    <row r="94" spans="1:4" x14ac:dyDescent="0.3">
      <c r="A94" s="5"/>
      <c r="B94" s="5" t="s">
        <v>30</v>
      </c>
      <c r="C94" s="5"/>
      <c r="D94" s="5"/>
    </row>
    <row r="95" spans="1:4" x14ac:dyDescent="0.3">
      <c r="A95" s="85" t="s">
        <v>21</v>
      </c>
      <c r="B95" s="85"/>
      <c r="C95" s="6">
        <v>7</v>
      </c>
    </row>
    <row r="98" spans="1:4" ht="28.8" x14ac:dyDescent="0.3">
      <c r="A98" s="1" t="s">
        <v>0</v>
      </c>
      <c r="B98" s="2" t="s">
        <v>1</v>
      </c>
      <c r="C98" s="2" t="s">
        <v>2</v>
      </c>
      <c r="D98" s="2" t="s">
        <v>3</v>
      </c>
    </row>
    <row r="99" spans="1:4" x14ac:dyDescent="0.3">
      <c r="A99" s="3" t="s">
        <v>4</v>
      </c>
      <c r="B99" s="1">
        <v>106376.28</v>
      </c>
      <c r="C99" s="1">
        <v>101090.66</v>
      </c>
      <c r="D99" s="1">
        <v>111700</v>
      </c>
    </row>
    <row r="100" spans="1:4" x14ac:dyDescent="0.3">
      <c r="A100" s="49" t="s">
        <v>32</v>
      </c>
      <c r="B100" s="50"/>
      <c r="C100" s="51"/>
      <c r="D100" s="1">
        <f>B99-D99</f>
        <v>-5323.7200000000012</v>
      </c>
    </row>
    <row r="102" spans="1:4" ht="28.8" x14ac:dyDescent="0.3">
      <c r="A102" s="60" t="s">
        <v>37</v>
      </c>
      <c r="B102" s="51"/>
      <c r="C102" s="21" t="s">
        <v>41</v>
      </c>
      <c r="D102" s="3"/>
    </row>
    <row r="103" spans="1:4" x14ac:dyDescent="0.3">
      <c r="A103" s="60" t="s">
        <v>38</v>
      </c>
      <c r="B103" s="51"/>
      <c r="C103" s="1">
        <v>0</v>
      </c>
      <c r="D103" s="1"/>
    </row>
    <row r="104" spans="1:4" x14ac:dyDescent="0.3">
      <c r="A104" s="52" t="s">
        <v>111</v>
      </c>
      <c r="B104" s="51"/>
      <c r="C104" s="1">
        <v>21800</v>
      </c>
      <c r="D104" s="1"/>
    </row>
    <row r="105" spans="1:4" x14ac:dyDescent="0.3">
      <c r="A105" s="52"/>
      <c r="B105" s="51"/>
      <c r="C105" s="1">
        <v>0</v>
      </c>
      <c r="D105" s="1"/>
    </row>
    <row r="106" spans="1:4" x14ac:dyDescent="0.3">
      <c r="A106" s="3" t="s">
        <v>40</v>
      </c>
      <c r="B106" s="1"/>
      <c r="C106" s="1">
        <v>0</v>
      </c>
      <c r="D106" s="1"/>
    </row>
    <row r="107" spans="1:4" ht="16.8" customHeight="1" x14ac:dyDescent="0.3">
      <c r="A107" s="52" t="s">
        <v>113</v>
      </c>
      <c r="B107" s="51"/>
      <c r="C107" s="1">
        <v>46600</v>
      </c>
      <c r="D107" s="1"/>
    </row>
    <row r="108" spans="1:4" ht="31.2" customHeight="1" x14ac:dyDescent="0.3">
      <c r="A108" s="52" t="s">
        <v>114</v>
      </c>
      <c r="B108" s="51"/>
      <c r="C108" s="1">
        <f>42000+400</f>
        <v>42400</v>
      </c>
      <c r="D108" s="1"/>
    </row>
    <row r="109" spans="1:4" x14ac:dyDescent="0.3">
      <c r="A109" s="61" t="s">
        <v>47</v>
      </c>
      <c r="B109" s="51"/>
      <c r="C109" s="1">
        <v>0</v>
      </c>
      <c r="D109" s="1"/>
    </row>
    <row r="110" spans="1:4" x14ac:dyDescent="0.3">
      <c r="A110" s="52" t="s">
        <v>72</v>
      </c>
      <c r="B110" s="51"/>
      <c r="C110" s="1">
        <v>500</v>
      </c>
      <c r="D110" s="1"/>
    </row>
    <row r="111" spans="1:4" x14ac:dyDescent="0.3">
      <c r="A111" s="52" t="s">
        <v>112</v>
      </c>
      <c r="B111" s="51"/>
      <c r="C111" s="1">
        <f>300+100</f>
        <v>400</v>
      </c>
      <c r="D111" s="1"/>
    </row>
    <row r="112" spans="1:4" x14ac:dyDescent="0.3">
      <c r="A112" s="56" t="s">
        <v>52</v>
      </c>
      <c r="B112" s="57"/>
      <c r="C112" s="1">
        <v>0</v>
      </c>
      <c r="D112" s="1"/>
    </row>
    <row r="113" spans="1:4" x14ac:dyDescent="0.3">
      <c r="A113" s="52" t="s">
        <v>53</v>
      </c>
      <c r="B113" s="51"/>
      <c r="C113" s="1"/>
      <c r="D113" s="1"/>
    </row>
    <row r="114" spans="1:4" x14ac:dyDescent="0.3">
      <c r="A114" s="59" t="s">
        <v>42</v>
      </c>
      <c r="B114" s="51"/>
      <c r="C114" s="3">
        <f>SUM(C103:C113)</f>
        <v>111700</v>
      </c>
      <c r="D114" s="1"/>
    </row>
    <row r="115" spans="1:4" x14ac:dyDescent="0.3">
      <c r="A115" s="14"/>
      <c r="B115" s="14"/>
      <c r="C115" s="14"/>
      <c r="D115" s="14"/>
    </row>
    <row r="116" spans="1:4" x14ac:dyDescent="0.3">
      <c r="A116" t="s">
        <v>11</v>
      </c>
    </row>
    <row r="117" spans="1:4" x14ac:dyDescent="0.3">
      <c r="A117" t="s">
        <v>12</v>
      </c>
      <c r="B117" t="s">
        <v>13</v>
      </c>
    </row>
  </sheetData>
  <mergeCells count="56">
    <mergeCell ref="A70:C70"/>
    <mergeCell ref="A41:B41"/>
    <mergeCell ref="A42:B42"/>
    <mergeCell ref="A43:B43"/>
    <mergeCell ref="A44:B44"/>
    <mergeCell ref="A46:B46"/>
    <mergeCell ref="A47:B47"/>
    <mergeCell ref="A48:B48"/>
    <mergeCell ref="A49:B49"/>
    <mergeCell ref="A12:C12"/>
    <mergeCell ref="A7:B7"/>
    <mergeCell ref="A34:B34"/>
    <mergeCell ref="A39:C39"/>
    <mergeCell ref="A65:B65"/>
    <mergeCell ref="A50:B50"/>
    <mergeCell ref="A51:B51"/>
    <mergeCell ref="A52:B52"/>
    <mergeCell ref="A53:B53"/>
    <mergeCell ref="A14:B14"/>
    <mergeCell ref="A15:B15"/>
    <mergeCell ref="A16:B16"/>
    <mergeCell ref="A17:B17"/>
    <mergeCell ref="A19:B19"/>
    <mergeCell ref="A20:B20"/>
    <mergeCell ref="A21:B21"/>
    <mergeCell ref="A83:B83"/>
    <mergeCell ref="A84:B84"/>
    <mergeCell ref="A113:B113"/>
    <mergeCell ref="A114:B114"/>
    <mergeCell ref="A108:B108"/>
    <mergeCell ref="A109:B109"/>
    <mergeCell ref="A110:B110"/>
    <mergeCell ref="A111:B111"/>
    <mergeCell ref="A112:B112"/>
    <mergeCell ref="A102:B102"/>
    <mergeCell ref="A103:B103"/>
    <mergeCell ref="A104:B104"/>
    <mergeCell ref="A105:B105"/>
    <mergeCell ref="A107:B107"/>
    <mergeCell ref="A95:B95"/>
    <mergeCell ref="A100:C100"/>
    <mergeCell ref="A78:B78"/>
    <mergeCell ref="A79:B79"/>
    <mergeCell ref="A80:B80"/>
    <mergeCell ref="A81:B81"/>
    <mergeCell ref="A82:B82"/>
    <mergeCell ref="A72:B72"/>
    <mergeCell ref="A73:B73"/>
    <mergeCell ref="A74:B74"/>
    <mergeCell ref="A75:B75"/>
    <mergeCell ref="A77:B77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9"/>
  <sheetViews>
    <sheetView topLeftCell="A31" workbookViewId="0">
      <selection activeCell="A44" sqref="A44:D59"/>
    </sheetView>
  </sheetViews>
  <sheetFormatPr defaultRowHeight="14.4" x14ac:dyDescent="0.3"/>
  <cols>
    <col min="1" max="1" width="22.5546875" customWidth="1"/>
    <col min="2" max="2" width="17.21875" customWidth="1"/>
    <col min="3" max="3" width="11.88671875" customWidth="1"/>
    <col min="4" max="4" width="11.21875" customWidth="1"/>
  </cols>
  <sheetData>
    <row r="4" spans="1:4" ht="15.6" x14ac:dyDescent="0.3">
      <c r="B4" s="4" t="s">
        <v>5</v>
      </c>
      <c r="C4" s="4"/>
    </row>
    <row r="5" spans="1:4" ht="15.6" x14ac:dyDescent="0.3">
      <c r="B5" s="4" t="s">
        <v>6</v>
      </c>
      <c r="C5" s="4"/>
    </row>
    <row r="6" spans="1:4" x14ac:dyDescent="0.3">
      <c r="A6" s="5" t="s">
        <v>7</v>
      </c>
      <c r="B6" s="5"/>
      <c r="C6" s="5"/>
      <c r="D6" s="5"/>
    </row>
    <row r="7" spans="1:4" x14ac:dyDescent="0.3">
      <c r="A7" s="5"/>
      <c r="B7" s="5" t="s">
        <v>30</v>
      </c>
      <c r="C7" s="5"/>
      <c r="D7" s="5"/>
    </row>
    <row r="8" spans="1:4" x14ac:dyDescent="0.3">
      <c r="A8" t="s">
        <v>8</v>
      </c>
      <c r="B8" t="s">
        <v>19</v>
      </c>
      <c r="C8" s="6">
        <v>5</v>
      </c>
    </row>
    <row r="11" spans="1:4" ht="28.8" x14ac:dyDescent="0.3">
      <c r="A11" s="1" t="s">
        <v>0</v>
      </c>
      <c r="B11" s="2" t="s">
        <v>1</v>
      </c>
      <c r="C11" s="2" t="s">
        <v>2</v>
      </c>
      <c r="D11" s="2" t="s">
        <v>3</v>
      </c>
    </row>
    <row r="12" spans="1:4" x14ac:dyDescent="0.3">
      <c r="A12" s="3" t="s">
        <v>4</v>
      </c>
      <c r="B12" s="1">
        <v>34127.46</v>
      </c>
      <c r="C12" s="1">
        <v>28164.21</v>
      </c>
      <c r="D12" s="1">
        <v>33300</v>
      </c>
    </row>
    <row r="13" spans="1:4" x14ac:dyDescent="0.3">
      <c r="A13" s="49" t="s">
        <v>10</v>
      </c>
      <c r="B13" s="50"/>
      <c r="C13" s="51"/>
      <c r="D13" s="1">
        <f>B12-D12</f>
        <v>827.45999999999913</v>
      </c>
    </row>
    <row r="15" spans="1:4" ht="28.8" x14ac:dyDescent="0.3">
      <c r="A15" s="60" t="s">
        <v>37</v>
      </c>
      <c r="B15" s="51"/>
      <c r="C15" s="21" t="s">
        <v>41</v>
      </c>
      <c r="D15" s="3"/>
    </row>
    <row r="16" spans="1:4" x14ac:dyDescent="0.3">
      <c r="A16" s="60" t="s">
        <v>38</v>
      </c>
      <c r="B16" s="51"/>
      <c r="C16" s="1">
        <v>0</v>
      </c>
      <c r="D16" s="1"/>
    </row>
    <row r="17" spans="1:4" x14ac:dyDescent="0.3">
      <c r="A17" s="52" t="s">
        <v>39</v>
      </c>
      <c r="B17" s="51"/>
      <c r="C17" s="1">
        <f>3000+1400+5600+4300+1400+1400+2800+5600+4200+1400</f>
        <v>31100</v>
      </c>
      <c r="D17" s="1"/>
    </row>
    <row r="18" spans="1:4" x14ac:dyDescent="0.3">
      <c r="A18" s="52"/>
      <c r="B18" s="51"/>
      <c r="C18" s="1">
        <v>0</v>
      </c>
      <c r="D18" s="1"/>
    </row>
    <row r="19" spans="1:4" x14ac:dyDescent="0.3">
      <c r="A19" s="3" t="s">
        <v>40</v>
      </c>
      <c r="B19" s="1"/>
      <c r="C19" s="1">
        <v>0</v>
      </c>
      <c r="D19" s="1"/>
    </row>
    <row r="20" spans="1:4" x14ac:dyDescent="0.3">
      <c r="A20" s="52" t="s">
        <v>115</v>
      </c>
      <c r="B20" s="51"/>
      <c r="C20" s="1">
        <f>200+300</f>
        <v>500</v>
      </c>
      <c r="D20" s="1"/>
    </row>
    <row r="21" spans="1:4" x14ac:dyDescent="0.3">
      <c r="A21" s="52" t="s">
        <v>116</v>
      </c>
      <c r="B21" s="51"/>
      <c r="C21" s="1">
        <f>700+1000</f>
        <v>1700</v>
      </c>
      <c r="D21" s="1"/>
    </row>
    <row r="22" spans="1:4" ht="14.4" customHeight="1" x14ac:dyDescent="0.3">
      <c r="A22" s="61" t="s">
        <v>47</v>
      </c>
      <c r="B22" s="51"/>
      <c r="C22" s="1">
        <v>0</v>
      </c>
      <c r="D22" s="1"/>
    </row>
    <row r="23" spans="1:4" x14ac:dyDescent="0.3">
      <c r="A23" s="52"/>
      <c r="B23" s="51"/>
      <c r="C23" s="1"/>
      <c r="D23" s="1"/>
    </row>
    <row r="24" spans="1:4" x14ac:dyDescent="0.3">
      <c r="A24" s="52"/>
      <c r="B24" s="51"/>
      <c r="C24" s="1"/>
      <c r="D24" s="1"/>
    </row>
    <row r="25" spans="1:4" x14ac:dyDescent="0.3">
      <c r="A25" s="56" t="s">
        <v>52</v>
      </c>
      <c r="B25" s="57"/>
      <c r="C25" s="1">
        <v>0</v>
      </c>
      <c r="D25" s="1"/>
    </row>
    <row r="26" spans="1:4" ht="14.4" customHeight="1" x14ac:dyDescent="0.3">
      <c r="A26" s="52" t="s">
        <v>53</v>
      </c>
      <c r="B26" s="51"/>
      <c r="C26" s="1"/>
      <c r="D26" s="1"/>
    </row>
    <row r="27" spans="1:4" x14ac:dyDescent="0.3">
      <c r="A27" s="59" t="s">
        <v>42</v>
      </c>
      <c r="B27" s="51"/>
      <c r="C27" s="3">
        <f>SUM(C16:C26)</f>
        <v>33300</v>
      </c>
      <c r="D27" s="1"/>
    </row>
    <row r="28" spans="1:4" x14ac:dyDescent="0.3">
      <c r="A28" s="14"/>
      <c r="B28" s="14"/>
      <c r="C28" s="14"/>
      <c r="D28" s="14"/>
    </row>
    <row r="29" spans="1:4" x14ac:dyDescent="0.3">
      <c r="A29" t="s">
        <v>11</v>
      </c>
    </row>
    <row r="30" spans="1:4" x14ac:dyDescent="0.3">
      <c r="A30" t="s">
        <v>12</v>
      </c>
      <c r="B30" t="s">
        <v>13</v>
      </c>
    </row>
    <row r="33" spans="1:4" ht="15.6" x14ac:dyDescent="0.3">
      <c r="B33" s="4" t="s">
        <v>5</v>
      </c>
      <c r="C33" s="4"/>
    </row>
    <row r="34" spans="1:4" ht="15.6" x14ac:dyDescent="0.3">
      <c r="B34" s="4" t="s">
        <v>6</v>
      </c>
      <c r="C34" s="4"/>
    </row>
    <row r="35" spans="1:4" x14ac:dyDescent="0.3">
      <c r="A35" s="5" t="s">
        <v>7</v>
      </c>
      <c r="B35" s="5"/>
      <c r="C35" s="5"/>
      <c r="D35" s="5"/>
    </row>
    <row r="36" spans="1:4" x14ac:dyDescent="0.3">
      <c r="A36" s="5"/>
      <c r="B36" s="5" t="s">
        <v>30</v>
      </c>
      <c r="C36" s="5"/>
      <c r="D36" s="5"/>
    </row>
    <row r="37" spans="1:4" x14ac:dyDescent="0.3">
      <c r="A37" t="s">
        <v>8</v>
      </c>
      <c r="B37" t="s">
        <v>19</v>
      </c>
      <c r="C37" s="6" t="s">
        <v>20</v>
      </c>
    </row>
    <row r="40" spans="1:4" ht="28.8" x14ac:dyDescent="0.3">
      <c r="A40" s="1" t="s">
        <v>0</v>
      </c>
      <c r="B40" s="2" t="s">
        <v>1</v>
      </c>
      <c r="C40" s="2" t="s">
        <v>2</v>
      </c>
      <c r="D40" s="2" t="s">
        <v>3</v>
      </c>
    </row>
    <row r="41" spans="1:4" x14ac:dyDescent="0.3">
      <c r="A41" s="3" t="s">
        <v>4</v>
      </c>
      <c r="B41" s="1">
        <v>42363.6</v>
      </c>
      <c r="C41" s="1">
        <v>41540.11</v>
      </c>
      <c r="D41" s="1">
        <v>34100</v>
      </c>
    </row>
    <row r="42" spans="1:4" x14ac:dyDescent="0.3">
      <c r="A42" s="49" t="s">
        <v>10</v>
      </c>
      <c r="B42" s="50"/>
      <c r="C42" s="51"/>
      <c r="D42" s="1">
        <f>B41-D41</f>
        <v>8263.5999999999985</v>
      </c>
    </row>
    <row r="44" spans="1:4" ht="28.8" x14ac:dyDescent="0.3">
      <c r="A44" s="60" t="s">
        <v>37</v>
      </c>
      <c r="B44" s="51"/>
      <c r="C44" s="21" t="s">
        <v>41</v>
      </c>
      <c r="D44" s="3"/>
    </row>
    <row r="45" spans="1:4" x14ac:dyDescent="0.3">
      <c r="A45" s="60" t="s">
        <v>38</v>
      </c>
      <c r="B45" s="51"/>
      <c r="C45" s="1">
        <v>0</v>
      </c>
      <c r="D45" s="1"/>
    </row>
    <row r="46" spans="1:4" x14ac:dyDescent="0.3">
      <c r="A46" s="52" t="s">
        <v>117</v>
      </c>
      <c r="B46" s="51"/>
      <c r="C46" s="1">
        <v>3500</v>
      </c>
      <c r="D46" s="1"/>
    </row>
    <row r="47" spans="1:4" x14ac:dyDescent="0.3">
      <c r="A47" s="52" t="s">
        <v>39</v>
      </c>
      <c r="B47" s="51"/>
      <c r="C47" s="1">
        <f>1500+1700+8400+5600+2000+3400+2000+3400</f>
        <v>28000</v>
      </c>
      <c r="D47" s="1"/>
    </row>
    <row r="48" spans="1:4" x14ac:dyDescent="0.3">
      <c r="A48" s="3" t="s">
        <v>40</v>
      </c>
      <c r="B48" s="1"/>
      <c r="C48" s="1">
        <v>0</v>
      </c>
      <c r="D48" s="1"/>
    </row>
    <row r="49" spans="1:4" ht="14.4" customHeight="1" x14ac:dyDescent="0.3">
      <c r="A49" s="52" t="s">
        <v>63</v>
      </c>
      <c r="B49" s="51"/>
      <c r="C49" s="1">
        <f>2000+600</f>
        <v>2600</v>
      </c>
      <c r="D49" s="1"/>
    </row>
    <row r="50" spans="1:4" x14ac:dyDescent="0.3">
      <c r="A50" s="52"/>
      <c r="B50" s="51"/>
      <c r="C50" s="1"/>
      <c r="D50" s="1"/>
    </row>
    <row r="51" spans="1:4" ht="14.4" customHeight="1" x14ac:dyDescent="0.3">
      <c r="A51" s="61" t="s">
        <v>47</v>
      </c>
      <c r="B51" s="51"/>
      <c r="C51" s="1">
        <v>0</v>
      </c>
      <c r="D51" s="1"/>
    </row>
    <row r="52" spans="1:4" x14ac:dyDescent="0.3">
      <c r="A52" s="52"/>
      <c r="B52" s="51"/>
      <c r="C52" s="1"/>
      <c r="D52" s="1"/>
    </row>
    <row r="53" spans="1:4" x14ac:dyDescent="0.3">
      <c r="A53" s="52"/>
      <c r="B53" s="51"/>
      <c r="C53" s="1"/>
      <c r="D53" s="1"/>
    </row>
    <row r="54" spans="1:4" x14ac:dyDescent="0.3">
      <c r="A54" s="56" t="s">
        <v>52</v>
      </c>
      <c r="B54" s="57"/>
      <c r="C54" s="1">
        <v>0</v>
      </c>
      <c r="D54" s="1"/>
    </row>
    <row r="55" spans="1:4" x14ac:dyDescent="0.3">
      <c r="A55" s="52" t="s">
        <v>53</v>
      </c>
      <c r="B55" s="51"/>
      <c r="C55" s="1"/>
      <c r="D55" s="1"/>
    </row>
    <row r="56" spans="1:4" x14ac:dyDescent="0.3">
      <c r="A56" s="59" t="s">
        <v>42</v>
      </c>
      <c r="B56" s="51"/>
      <c r="C56" s="3">
        <f>SUM(C45:C55)</f>
        <v>34100</v>
      </c>
      <c r="D56" s="1"/>
    </row>
    <row r="57" spans="1:4" x14ac:dyDescent="0.3">
      <c r="A57" s="14"/>
      <c r="B57" s="14"/>
      <c r="C57" s="14"/>
      <c r="D57" s="14"/>
    </row>
    <row r="58" spans="1:4" x14ac:dyDescent="0.3">
      <c r="A58" t="s">
        <v>11</v>
      </c>
    </row>
    <row r="59" spans="1:4" x14ac:dyDescent="0.3">
      <c r="A59" t="s">
        <v>12</v>
      </c>
      <c r="B59" t="s">
        <v>13</v>
      </c>
    </row>
  </sheetData>
  <mergeCells count="26">
    <mergeCell ref="A13:C13"/>
    <mergeCell ref="A42:C42"/>
    <mergeCell ref="A44:B44"/>
    <mergeCell ref="A45:B45"/>
    <mergeCell ref="A46:B46"/>
    <mergeCell ref="A47:B47"/>
    <mergeCell ref="A49:B49"/>
    <mergeCell ref="A50:B50"/>
    <mergeCell ref="A51:B51"/>
    <mergeCell ref="A52:B52"/>
    <mergeCell ref="A53:B53"/>
    <mergeCell ref="A54:B54"/>
    <mergeCell ref="A55:B55"/>
    <mergeCell ref="A56:B56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19"/>
  <sheetViews>
    <sheetView topLeftCell="A88" workbookViewId="0">
      <selection activeCell="B92" sqref="B92:E120"/>
    </sheetView>
  </sheetViews>
  <sheetFormatPr defaultRowHeight="14.4" x14ac:dyDescent="0.3"/>
  <cols>
    <col min="2" max="2" width="32.5546875" customWidth="1"/>
    <col min="3" max="3" width="15.109375" customWidth="1"/>
    <col min="4" max="4" width="12.109375" customWidth="1"/>
    <col min="5" max="5" width="13.5546875" customWidth="1"/>
  </cols>
  <sheetData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30</v>
      </c>
      <c r="D6" s="5"/>
      <c r="E6" s="5"/>
    </row>
    <row r="7" spans="2:5" x14ac:dyDescent="0.3">
      <c r="B7" t="s">
        <v>163</v>
      </c>
      <c r="C7" t="s">
        <v>165</v>
      </c>
      <c r="D7" s="6">
        <v>2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f>17661.78+2176.49</f>
        <v>19838.269999999997</v>
      </c>
      <c r="D11" s="1">
        <v>14631.73</v>
      </c>
      <c r="E11" s="1">
        <v>57502.05</v>
      </c>
    </row>
    <row r="12" spans="2:5" x14ac:dyDescent="0.3">
      <c r="B12" s="49" t="s">
        <v>10</v>
      </c>
      <c r="C12" s="50"/>
      <c r="D12" s="51"/>
      <c r="E12" s="1">
        <f>C11-E11</f>
        <v>-37663.780000000006</v>
      </c>
    </row>
    <row r="14" spans="2:5" ht="28.8" x14ac:dyDescent="0.3">
      <c r="B14" s="60" t="s">
        <v>37</v>
      </c>
      <c r="C14" s="51"/>
      <c r="D14" s="21" t="s">
        <v>41</v>
      </c>
      <c r="E14" s="3"/>
    </row>
    <row r="15" spans="2:5" x14ac:dyDescent="0.3">
      <c r="B15" s="60" t="s">
        <v>38</v>
      </c>
      <c r="C15" s="51"/>
      <c r="D15" s="1">
        <v>0</v>
      </c>
      <c r="E15" s="1"/>
    </row>
    <row r="16" spans="2:5" ht="15.6" x14ac:dyDescent="0.3">
      <c r="B16" s="52" t="s">
        <v>194</v>
      </c>
      <c r="C16" s="51"/>
      <c r="D16" s="28">
        <v>921.51</v>
      </c>
      <c r="E16" s="1"/>
    </row>
    <row r="17" spans="2:5" x14ac:dyDescent="0.3">
      <c r="B17" s="52"/>
      <c r="C17" s="51"/>
      <c r="D17" s="1">
        <v>0</v>
      </c>
      <c r="E17" s="1"/>
    </row>
    <row r="18" spans="2:5" x14ac:dyDescent="0.3">
      <c r="B18" s="60" t="s">
        <v>40</v>
      </c>
      <c r="C18" s="51"/>
      <c r="D18" s="1">
        <v>0</v>
      </c>
      <c r="E18" s="1"/>
    </row>
    <row r="19" spans="2:5" ht="15.6" x14ac:dyDescent="0.3">
      <c r="B19" s="52" t="s">
        <v>195</v>
      </c>
      <c r="C19" s="62"/>
      <c r="D19" s="28">
        <v>687.52</v>
      </c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ht="15.6" x14ac:dyDescent="0.3">
      <c r="B21" s="52" t="s">
        <v>193</v>
      </c>
      <c r="C21" s="51"/>
      <c r="D21" s="31">
        <v>35626.449999999997</v>
      </c>
      <c r="E21" s="1"/>
    </row>
    <row r="22" spans="2:5" x14ac:dyDescent="0.3">
      <c r="B22" s="52"/>
      <c r="C22" s="51"/>
      <c r="D22" s="1"/>
      <c r="E22" s="1"/>
    </row>
    <row r="23" spans="2:5" x14ac:dyDescent="0.3">
      <c r="B23" s="52"/>
      <c r="C23" s="51"/>
      <c r="D23" s="1">
        <v>0</v>
      </c>
      <c r="E23" s="1"/>
    </row>
    <row r="24" spans="2:5" x14ac:dyDescent="0.3">
      <c r="B24" s="56" t="s">
        <v>52</v>
      </c>
      <c r="C24" s="57"/>
      <c r="D24" s="1">
        <v>0</v>
      </c>
      <c r="E24" s="1"/>
    </row>
    <row r="25" spans="2:5" ht="15.6" x14ac:dyDescent="0.3">
      <c r="B25" s="52" t="s">
        <v>53</v>
      </c>
      <c r="C25" s="51"/>
      <c r="D25" s="28">
        <v>752.32</v>
      </c>
      <c r="E25" s="1"/>
    </row>
    <row r="26" spans="2:5" ht="15.6" x14ac:dyDescent="0.3">
      <c r="B26" s="52" t="s">
        <v>196</v>
      </c>
      <c r="C26" s="62"/>
      <c r="D26" s="28">
        <f>12925.87+6588.38</f>
        <v>19514.25</v>
      </c>
      <c r="E26" s="1"/>
    </row>
    <row r="27" spans="2:5" x14ac:dyDescent="0.3">
      <c r="B27" s="52"/>
      <c r="C27" s="51"/>
      <c r="D27" s="1">
        <v>0</v>
      </c>
      <c r="E27" s="1"/>
    </row>
    <row r="28" spans="2:5" x14ac:dyDescent="0.3">
      <c r="B28" s="59" t="s">
        <v>42</v>
      </c>
      <c r="C28" s="51"/>
      <c r="D28" s="3">
        <f>SUM(D15:D27)</f>
        <v>57502.049999999996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  <row r="34" spans="2:5" ht="15.6" x14ac:dyDescent="0.3">
      <c r="C34" s="4" t="s">
        <v>6</v>
      </c>
      <c r="D34" s="4"/>
    </row>
    <row r="35" spans="2:5" x14ac:dyDescent="0.3">
      <c r="B35" s="5" t="s">
        <v>7</v>
      </c>
      <c r="C35" s="5"/>
      <c r="D35" s="5"/>
      <c r="E35" s="5"/>
    </row>
    <row r="36" spans="2:5" x14ac:dyDescent="0.3">
      <c r="B36" s="5"/>
      <c r="C36" s="5" t="s">
        <v>30</v>
      </c>
      <c r="D36" s="5"/>
      <c r="E36" s="5"/>
    </row>
    <row r="37" spans="2:5" x14ac:dyDescent="0.3">
      <c r="B37" t="s">
        <v>163</v>
      </c>
      <c r="C37" t="s">
        <v>165</v>
      </c>
      <c r="D37" s="6">
        <v>3</v>
      </c>
    </row>
    <row r="40" spans="2:5" ht="28.8" x14ac:dyDescent="0.3">
      <c r="B40" s="1" t="s">
        <v>0</v>
      </c>
      <c r="C40" s="2" t="s">
        <v>1</v>
      </c>
      <c r="D40" s="2" t="s">
        <v>2</v>
      </c>
      <c r="E40" s="2" t="s">
        <v>3</v>
      </c>
    </row>
    <row r="41" spans="2:5" x14ac:dyDescent="0.3">
      <c r="B41" s="3" t="s">
        <v>4</v>
      </c>
      <c r="C41" s="1">
        <v>13774.62</v>
      </c>
      <c r="D41" s="1">
        <v>9447.1</v>
      </c>
      <c r="E41" s="1">
        <v>4278.1099999999997</v>
      </c>
    </row>
    <row r="42" spans="2:5" x14ac:dyDescent="0.3">
      <c r="B42" s="49" t="s">
        <v>10</v>
      </c>
      <c r="C42" s="50"/>
      <c r="D42" s="51"/>
      <c r="E42" s="1">
        <f>C41-E41</f>
        <v>9496.510000000002</v>
      </c>
    </row>
    <row r="44" spans="2:5" ht="28.8" x14ac:dyDescent="0.3">
      <c r="B44" s="60" t="s">
        <v>37</v>
      </c>
      <c r="C44" s="51"/>
      <c r="D44" s="21" t="s">
        <v>41</v>
      </c>
      <c r="E44" s="3"/>
    </row>
    <row r="45" spans="2:5" x14ac:dyDescent="0.3">
      <c r="B45" s="60" t="s">
        <v>38</v>
      </c>
      <c r="C45" s="51"/>
      <c r="D45" s="1">
        <v>0</v>
      </c>
      <c r="E45" s="1"/>
    </row>
    <row r="46" spans="2:5" ht="15.6" x14ac:dyDescent="0.3">
      <c r="B46" s="52" t="s">
        <v>197</v>
      </c>
      <c r="C46" s="51"/>
      <c r="D46" s="28">
        <v>1807.85</v>
      </c>
      <c r="E46" s="1"/>
    </row>
    <row r="47" spans="2:5" x14ac:dyDescent="0.3">
      <c r="B47" s="52"/>
      <c r="C47" s="51"/>
      <c r="D47" s="1">
        <v>0</v>
      </c>
      <c r="E47" s="1"/>
    </row>
    <row r="48" spans="2:5" x14ac:dyDescent="0.3">
      <c r="B48" s="60" t="s">
        <v>40</v>
      </c>
      <c r="C48" s="51"/>
      <c r="D48" s="1">
        <v>0</v>
      </c>
      <c r="E48" s="1"/>
    </row>
    <row r="49" spans="2:5" x14ac:dyDescent="0.3">
      <c r="B49" s="52" t="s">
        <v>93</v>
      </c>
      <c r="C49" s="51"/>
      <c r="D49" s="27">
        <v>2282.1799999999998</v>
      </c>
      <c r="E49" s="1"/>
    </row>
    <row r="50" spans="2:5" x14ac:dyDescent="0.3">
      <c r="B50" s="52"/>
      <c r="C50" s="51"/>
      <c r="D50" s="1">
        <v>0</v>
      </c>
      <c r="E50" s="1"/>
    </row>
    <row r="51" spans="2:5" x14ac:dyDescent="0.3">
      <c r="B51" s="61" t="s">
        <v>47</v>
      </c>
      <c r="C51" s="51"/>
      <c r="D51" s="1">
        <v>0</v>
      </c>
      <c r="E51" s="1"/>
    </row>
    <row r="52" spans="2:5" x14ac:dyDescent="0.3">
      <c r="B52" s="52"/>
      <c r="C52" s="51"/>
      <c r="D52" s="1">
        <v>0</v>
      </c>
      <c r="E52" s="1"/>
    </row>
    <row r="53" spans="2:5" x14ac:dyDescent="0.3">
      <c r="B53" s="52"/>
      <c r="C53" s="51"/>
      <c r="D53" s="1"/>
      <c r="E53" s="1"/>
    </row>
    <row r="54" spans="2:5" x14ac:dyDescent="0.3">
      <c r="B54" s="52"/>
      <c r="C54" s="51"/>
      <c r="D54" s="1">
        <v>0</v>
      </c>
      <c r="E54" s="1"/>
    </row>
    <row r="55" spans="2:5" x14ac:dyDescent="0.3">
      <c r="B55" s="56" t="s">
        <v>52</v>
      </c>
      <c r="C55" s="57"/>
      <c r="D55" s="1">
        <v>0</v>
      </c>
      <c r="E55" s="1"/>
    </row>
    <row r="56" spans="2:5" ht="15.6" x14ac:dyDescent="0.3">
      <c r="B56" s="52" t="s">
        <v>53</v>
      </c>
      <c r="C56" s="51"/>
      <c r="D56" s="28">
        <v>188.08</v>
      </c>
      <c r="E56" s="1"/>
    </row>
    <row r="57" spans="2:5" x14ac:dyDescent="0.3">
      <c r="B57" s="52"/>
      <c r="C57" s="51"/>
      <c r="D57" s="1">
        <v>0</v>
      </c>
      <c r="E57" s="1"/>
    </row>
    <row r="58" spans="2:5" x14ac:dyDescent="0.3">
      <c r="B58" s="59" t="s">
        <v>42</v>
      </c>
      <c r="C58" s="51"/>
      <c r="D58" s="3">
        <f>SUM(D45:D57)</f>
        <v>4278.1099999999997</v>
      </c>
      <c r="E58" s="1"/>
    </row>
    <row r="59" spans="2:5" x14ac:dyDescent="0.3">
      <c r="B59" s="14"/>
      <c r="C59" s="14"/>
      <c r="D59" s="14"/>
      <c r="E59" s="14"/>
    </row>
    <row r="60" spans="2:5" x14ac:dyDescent="0.3">
      <c r="B60" t="s">
        <v>11</v>
      </c>
    </row>
    <row r="61" spans="2:5" x14ac:dyDescent="0.3">
      <c r="B61" t="s">
        <v>12</v>
      </c>
      <c r="C61" t="s">
        <v>13</v>
      </c>
    </row>
    <row r="63" spans="2:5" ht="15.6" x14ac:dyDescent="0.3">
      <c r="C63" s="4" t="s">
        <v>6</v>
      </c>
      <c r="D63" s="4"/>
    </row>
    <row r="64" spans="2:5" x14ac:dyDescent="0.3">
      <c r="B64" s="5" t="s">
        <v>7</v>
      </c>
      <c r="C64" s="5"/>
      <c r="D64" s="5"/>
      <c r="E64" s="5"/>
    </row>
    <row r="65" spans="2:5" x14ac:dyDescent="0.3">
      <c r="B65" s="5"/>
      <c r="C65" s="5" t="s">
        <v>30</v>
      </c>
      <c r="D65" s="5"/>
      <c r="E65" s="5"/>
    </row>
    <row r="66" spans="2:5" x14ac:dyDescent="0.3">
      <c r="B66" t="s">
        <v>163</v>
      </c>
      <c r="C66" t="s">
        <v>165</v>
      </c>
      <c r="D66" s="6">
        <v>4</v>
      </c>
    </row>
    <row r="69" spans="2:5" ht="28.8" x14ac:dyDescent="0.3">
      <c r="B69" s="1" t="s">
        <v>0</v>
      </c>
      <c r="C69" s="2" t="s">
        <v>1</v>
      </c>
      <c r="D69" s="2" t="s">
        <v>2</v>
      </c>
      <c r="E69" s="2" t="s">
        <v>3</v>
      </c>
    </row>
    <row r="70" spans="2:5" x14ac:dyDescent="0.3">
      <c r="B70" s="3" t="s">
        <v>4</v>
      </c>
      <c r="C70" s="1">
        <v>19436.580000000002</v>
      </c>
      <c r="D70" s="1">
        <v>17172.62</v>
      </c>
      <c r="E70" s="1">
        <v>5624.5</v>
      </c>
    </row>
    <row r="71" spans="2:5" x14ac:dyDescent="0.3">
      <c r="B71" s="49" t="s">
        <v>10</v>
      </c>
      <c r="C71" s="50"/>
      <c r="D71" s="51"/>
      <c r="E71" s="1">
        <f>C70-E70</f>
        <v>13812.080000000002</v>
      </c>
    </row>
    <row r="73" spans="2:5" ht="28.8" x14ac:dyDescent="0.3">
      <c r="B73" s="60" t="s">
        <v>37</v>
      </c>
      <c r="C73" s="51"/>
      <c r="D73" s="21" t="s">
        <v>41</v>
      </c>
      <c r="E73" s="3"/>
    </row>
    <row r="74" spans="2:5" x14ac:dyDescent="0.3">
      <c r="B74" s="60" t="s">
        <v>38</v>
      </c>
      <c r="C74" s="51"/>
      <c r="D74" s="1">
        <v>0</v>
      </c>
      <c r="E74" s="1"/>
    </row>
    <row r="75" spans="2:5" ht="15.6" x14ac:dyDescent="0.3">
      <c r="B75" s="52" t="s">
        <v>199</v>
      </c>
      <c r="C75" s="51"/>
      <c r="D75" s="32">
        <v>982.42</v>
      </c>
      <c r="E75" s="1"/>
    </row>
    <row r="76" spans="2:5" x14ac:dyDescent="0.3">
      <c r="B76" s="52"/>
      <c r="C76" s="51"/>
      <c r="D76" s="1">
        <v>0</v>
      </c>
      <c r="E76" s="1"/>
    </row>
    <row r="77" spans="2:5" x14ac:dyDescent="0.3">
      <c r="B77" s="60" t="s">
        <v>40</v>
      </c>
      <c r="C77" s="51"/>
      <c r="D77" s="1">
        <v>0</v>
      </c>
      <c r="E77" s="1"/>
    </row>
    <row r="78" spans="2:5" x14ac:dyDescent="0.3">
      <c r="B78" s="52"/>
      <c r="C78" s="51"/>
      <c r="D78" s="1">
        <v>0</v>
      </c>
      <c r="E78" s="1"/>
    </row>
    <row r="79" spans="2:5" x14ac:dyDescent="0.3">
      <c r="B79" s="61" t="s">
        <v>47</v>
      </c>
      <c r="C79" s="51"/>
      <c r="D79" s="1">
        <v>0</v>
      </c>
      <c r="E79" s="1"/>
    </row>
    <row r="80" spans="2:5" x14ac:dyDescent="0.3">
      <c r="B80" s="52"/>
      <c r="C80" s="51"/>
      <c r="D80" s="1">
        <v>0</v>
      </c>
      <c r="E80" s="1"/>
    </row>
    <row r="81" spans="2:5" x14ac:dyDescent="0.3">
      <c r="B81" s="52"/>
      <c r="C81" s="51"/>
      <c r="D81" s="1"/>
      <c r="E81" s="1"/>
    </row>
    <row r="82" spans="2:5" x14ac:dyDescent="0.3">
      <c r="B82" s="52"/>
      <c r="C82" s="51"/>
      <c r="D82" s="1">
        <v>0</v>
      </c>
      <c r="E82" s="1"/>
    </row>
    <row r="83" spans="2:5" x14ac:dyDescent="0.3">
      <c r="B83" s="56" t="s">
        <v>52</v>
      </c>
      <c r="C83" s="57"/>
      <c r="D83" s="1">
        <v>0</v>
      </c>
      <c r="E83" s="1"/>
    </row>
    <row r="84" spans="2:5" ht="15.6" x14ac:dyDescent="0.3">
      <c r="B84" s="52" t="s">
        <v>53</v>
      </c>
      <c r="C84" s="51"/>
      <c r="D84" s="28">
        <v>940.4</v>
      </c>
      <c r="E84" s="1"/>
    </row>
    <row r="85" spans="2:5" ht="15.6" x14ac:dyDescent="0.3">
      <c r="B85" s="52" t="s">
        <v>198</v>
      </c>
      <c r="C85" s="51"/>
      <c r="D85" s="28">
        <v>3701.68</v>
      </c>
      <c r="E85" s="1"/>
    </row>
    <row r="86" spans="2:5" x14ac:dyDescent="0.3">
      <c r="B86" s="52"/>
      <c r="C86" s="51"/>
      <c r="D86" s="1">
        <v>0</v>
      </c>
      <c r="E86" s="1"/>
    </row>
    <row r="87" spans="2:5" x14ac:dyDescent="0.3">
      <c r="B87" s="59" t="s">
        <v>42</v>
      </c>
      <c r="C87" s="51"/>
      <c r="D87" s="3">
        <f>SUM(D74:D86)</f>
        <v>5624.5</v>
      </c>
      <c r="E87" s="1"/>
    </row>
    <row r="88" spans="2:5" x14ac:dyDescent="0.3">
      <c r="B88" s="14"/>
      <c r="C88" s="14"/>
      <c r="D88" s="14"/>
      <c r="E88" s="14"/>
    </row>
    <row r="89" spans="2:5" x14ac:dyDescent="0.3">
      <c r="B89" t="s">
        <v>11</v>
      </c>
    </row>
    <row r="90" spans="2:5" x14ac:dyDescent="0.3">
      <c r="B90" t="s">
        <v>12</v>
      </c>
      <c r="C90" t="s">
        <v>13</v>
      </c>
    </row>
    <row r="92" spans="2:5" ht="15.6" x14ac:dyDescent="0.3">
      <c r="C92" s="4" t="s">
        <v>6</v>
      </c>
      <c r="D92" s="4"/>
    </row>
    <row r="93" spans="2:5" x14ac:dyDescent="0.3">
      <c r="B93" s="5" t="s">
        <v>7</v>
      </c>
      <c r="C93" s="5"/>
      <c r="D93" s="5"/>
      <c r="E93" s="5"/>
    </row>
    <row r="94" spans="2:5" x14ac:dyDescent="0.3">
      <c r="B94" s="5"/>
      <c r="C94" s="5" t="s">
        <v>30</v>
      </c>
      <c r="D94" s="5"/>
      <c r="E94" s="5"/>
    </row>
    <row r="95" spans="2:5" x14ac:dyDescent="0.3">
      <c r="B95" t="s">
        <v>163</v>
      </c>
      <c r="C95" t="s">
        <v>165</v>
      </c>
      <c r="D95" s="6">
        <v>5</v>
      </c>
    </row>
    <row r="98" spans="2:5" ht="28.8" x14ac:dyDescent="0.3">
      <c r="B98" s="1" t="s">
        <v>0</v>
      </c>
      <c r="C98" s="2" t="s">
        <v>1</v>
      </c>
      <c r="D98" s="2" t="s">
        <v>2</v>
      </c>
      <c r="E98" s="2" t="s">
        <v>3</v>
      </c>
    </row>
    <row r="99" spans="2:5" x14ac:dyDescent="0.3">
      <c r="B99" s="3" t="s">
        <v>4</v>
      </c>
      <c r="C99" s="1">
        <f>96071.4+43848.39</f>
        <v>139919.78999999998</v>
      </c>
      <c r="D99" s="1">
        <v>81671</v>
      </c>
      <c r="E99" s="1">
        <v>123179.62</v>
      </c>
    </row>
    <row r="100" spans="2:5" x14ac:dyDescent="0.3">
      <c r="B100" s="49" t="s">
        <v>10</v>
      </c>
      <c r="C100" s="50"/>
      <c r="D100" s="51"/>
      <c r="E100" s="1">
        <f>C99-E99</f>
        <v>16740.169999999984</v>
      </c>
    </row>
    <row r="102" spans="2:5" ht="28.8" x14ac:dyDescent="0.3">
      <c r="B102" s="60" t="s">
        <v>37</v>
      </c>
      <c r="C102" s="51"/>
      <c r="D102" s="21" t="s">
        <v>41</v>
      </c>
      <c r="E102" s="3"/>
    </row>
    <row r="103" spans="2:5" x14ac:dyDescent="0.3">
      <c r="B103" s="60" t="s">
        <v>38</v>
      </c>
      <c r="C103" s="51"/>
      <c r="D103" s="1">
        <v>0</v>
      </c>
      <c r="E103" s="1"/>
    </row>
    <row r="104" spans="2:5" ht="15.6" x14ac:dyDescent="0.3">
      <c r="B104" s="52" t="s">
        <v>201</v>
      </c>
      <c r="C104" s="51"/>
      <c r="D104" s="28">
        <v>586.41999999999996</v>
      </c>
      <c r="E104" s="1"/>
    </row>
    <row r="105" spans="2:5" x14ac:dyDescent="0.3">
      <c r="B105" s="52" t="s">
        <v>203</v>
      </c>
      <c r="C105" s="51"/>
      <c r="D105" s="1">
        <f>5692.29+39118.35+28135.35</f>
        <v>72945.989999999991</v>
      </c>
      <c r="E105" s="1"/>
    </row>
    <row r="106" spans="2:5" x14ac:dyDescent="0.3">
      <c r="B106" s="60" t="s">
        <v>40</v>
      </c>
      <c r="C106" s="51"/>
      <c r="D106" s="1">
        <v>0</v>
      </c>
      <c r="E106" s="1"/>
    </row>
    <row r="107" spans="2:5" x14ac:dyDescent="0.3">
      <c r="B107" s="52" t="s">
        <v>70</v>
      </c>
      <c r="C107" s="51"/>
      <c r="D107" s="1">
        <f>12342.88+8629.79</f>
        <v>20972.67</v>
      </c>
      <c r="E107" s="1"/>
    </row>
    <row r="108" spans="2:5" ht="15.6" x14ac:dyDescent="0.3">
      <c r="B108" s="52" t="s">
        <v>206</v>
      </c>
      <c r="C108" s="51"/>
      <c r="D108" s="32">
        <v>21035.21</v>
      </c>
      <c r="E108" s="1"/>
    </row>
    <row r="109" spans="2:5" x14ac:dyDescent="0.3">
      <c r="B109" s="61" t="s">
        <v>47</v>
      </c>
      <c r="C109" s="51"/>
      <c r="D109" s="1">
        <v>0</v>
      </c>
      <c r="E109" s="1"/>
    </row>
    <row r="110" spans="2:5" ht="15.6" x14ac:dyDescent="0.3">
      <c r="B110" s="52" t="s">
        <v>200</v>
      </c>
      <c r="C110" s="51"/>
      <c r="D110" s="28">
        <v>5465.45</v>
      </c>
      <c r="E110" s="1"/>
    </row>
    <row r="111" spans="2:5" x14ac:dyDescent="0.3">
      <c r="B111" s="52" t="s">
        <v>205</v>
      </c>
      <c r="C111" s="51"/>
      <c r="D111" s="1">
        <f>145.45+153.45+370.75</f>
        <v>669.65</v>
      </c>
      <c r="E111" s="1"/>
    </row>
    <row r="112" spans="2:5" x14ac:dyDescent="0.3">
      <c r="B112" s="52"/>
      <c r="C112" s="51"/>
      <c r="D112" s="1">
        <v>0</v>
      </c>
      <c r="E112" s="1"/>
    </row>
    <row r="113" spans="2:5" x14ac:dyDescent="0.3">
      <c r="B113" s="56" t="s">
        <v>52</v>
      </c>
      <c r="C113" s="57"/>
      <c r="D113" s="1">
        <v>0</v>
      </c>
      <c r="E113" s="1"/>
    </row>
    <row r="114" spans="2:5" x14ac:dyDescent="0.3">
      <c r="B114" s="52" t="s">
        <v>53</v>
      </c>
      <c r="C114" s="51"/>
      <c r="D114" s="1"/>
      <c r="E114" s="1"/>
    </row>
    <row r="115" spans="2:5" x14ac:dyDescent="0.3">
      <c r="B115" s="52" t="s">
        <v>202</v>
      </c>
      <c r="C115" s="51"/>
      <c r="D115" s="27">
        <f>[1]май!$G$36/3</f>
        <v>1504.2299999999998</v>
      </c>
      <c r="E115" s="1"/>
    </row>
    <row r="116" spans="2:5" x14ac:dyDescent="0.3">
      <c r="B116" s="59" t="s">
        <v>42</v>
      </c>
      <c r="C116" s="51"/>
      <c r="D116" s="3">
        <f>SUM(D103:D115)</f>
        <v>123179.61999999997</v>
      </c>
      <c r="E116" s="1"/>
    </row>
    <row r="117" spans="2:5" x14ac:dyDescent="0.3">
      <c r="B117" s="14"/>
      <c r="C117" s="14"/>
      <c r="D117" s="14"/>
      <c r="E117" s="14"/>
    </row>
    <row r="118" spans="2:5" x14ac:dyDescent="0.3">
      <c r="B118" t="s">
        <v>11</v>
      </c>
    </row>
    <row r="119" spans="2:5" x14ac:dyDescent="0.3">
      <c r="B119" t="s">
        <v>12</v>
      </c>
      <c r="C119" t="s">
        <v>13</v>
      </c>
    </row>
  </sheetData>
  <mergeCells count="64"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12:C112"/>
    <mergeCell ref="B106:C106"/>
    <mergeCell ref="B81:C81"/>
    <mergeCell ref="B82:C82"/>
    <mergeCell ref="B83:C83"/>
    <mergeCell ref="B84:C84"/>
    <mergeCell ref="B86:C86"/>
    <mergeCell ref="B87:C87"/>
    <mergeCell ref="B100:D100"/>
    <mergeCell ref="B102:C102"/>
    <mergeCell ref="B103:C103"/>
    <mergeCell ref="B104:C104"/>
    <mergeCell ref="B105:C105"/>
    <mergeCell ref="B71:D71"/>
    <mergeCell ref="B73:C73"/>
    <mergeCell ref="B74:C74"/>
    <mergeCell ref="B85:C85"/>
    <mergeCell ref="B78:C78"/>
    <mergeCell ref="B79:C79"/>
    <mergeCell ref="B80:C80"/>
    <mergeCell ref="B75:C75"/>
    <mergeCell ref="B76:C76"/>
    <mergeCell ref="B77:C77"/>
    <mergeCell ref="B53:C53"/>
    <mergeCell ref="B54:C54"/>
    <mergeCell ref="B55:C55"/>
    <mergeCell ref="B58:C58"/>
    <mergeCell ref="B57:C57"/>
    <mergeCell ref="B56:C56"/>
    <mergeCell ref="B48:C48"/>
    <mergeCell ref="B49:C49"/>
    <mergeCell ref="B50:C50"/>
    <mergeCell ref="B51:C51"/>
    <mergeCell ref="B52:C52"/>
    <mergeCell ref="B27:C27"/>
    <mergeCell ref="B28:C28"/>
    <mergeCell ref="B42:D42"/>
    <mergeCell ref="B47:C47"/>
    <mergeCell ref="B45:C45"/>
    <mergeCell ref="B46:C46"/>
    <mergeCell ref="B44:C44"/>
    <mergeCell ref="B18:C18"/>
    <mergeCell ref="B12:D12"/>
    <mergeCell ref="B14:C14"/>
    <mergeCell ref="B15:C15"/>
    <mergeCell ref="B16:C16"/>
    <mergeCell ref="B17:C17"/>
    <mergeCell ref="B19:C19"/>
    <mergeCell ref="B26:C26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>
      <selection activeCell="F6" sqref="F6"/>
    </sheetView>
  </sheetViews>
  <sheetFormatPr defaultRowHeight="14.4" x14ac:dyDescent="0.3"/>
  <cols>
    <col min="1" max="1" width="19.88671875" customWidth="1"/>
    <col min="2" max="2" width="14.109375" customWidth="1"/>
    <col min="3" max="3" width="15.44140625" customWidth="1"/>
    <col min="4" max="4" width="12.6640625" customWidth="1"/>
    <col min="7" max="7" width="8.21875" customWidth="1"/>
  </cols>
  <sheetData>
    <row r="3" spans="1:4" ht="15.6" x14ac:dyDescent="0.3">
      <c r="B3" s="4" t="s">
        <v>5</v>
      </c>
      <c r="C3" s="4"/>
    </row>
    <row r="4" spans="1:4" ht="15.6" x14ac:dyDescent="0.3">
      <c r="B4" s="4" t="s">
        <v>6</v>
      </c>
      <c r="C4" s="4"/>
    </row>
    <row r="5" spans="1:4" x14ac:dyDescent="0.3">
      <c r="A5" s="5" t="s">
        <v>7</v>
      </c>
      <c r="B5" s="5"/>
      <c r="C5" s="5"/>
      <c r="D5" s="5"/>
    </row>
    <row r="6" spans="1:4" x14ac:dyDescent="0.3">
      <c r="A6" s="5"/>
      <c r="B6" s="5" t="s">
        <v>30</v>
      </c>
      <c r="C6" s="5"/>
      <c r="D6" s="5"/>
    </row>
    <row r="7" spans="1:4" x14ac:dyDescent="0.3">
      <c r="A7" t="s">
        <v>17</v>
      </c>
      <c r="B7" t="s">
        <v>18</v>
      </c>
      <c r="C7" s="6">
        <v>7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4</v>
      </c>
      <c r="B11" s="1">
        <v>7669.14</v>
      </c>
      <c r="C11" s="1">
        <v>6234.06</v>
      </c>
      <c r="D11" s="1">
        <v>0</v>
      </c>
    </row>
    <row r="12" spans="1:4" x14ac:dyDescent="0.3">
      <c r="A12" s="49" t="s">
        <v>10</v>
      </c>
      <c r="B12" s="50"/>
      <c r="C12" s="51"/>
      <c r="D12" s="1">
        <f>B11-D11</f>
        <v>7669.14</v>
      </c>
    </row>
    <row r="19" spans="1:2" x14ac:dyDescent="0.3">
      <c r="A19" t="s">
        <v>11</v>
      </c>
    </row>
    <row r="21" spans="1:2" x14ac:dyDescent="0.3">
      <c r="A21" t="s">
        <v>12</v>
      </c>
      <c r="B21" t="s">
        <v>13</v>
      </c>
    </row>
  </sheetData>
  <mergeCells count="1">
    <mergeCell ref="A12:C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5"/>
  <sheetViews>
    <sheetView topLeftCell="A190" workbookViewId="0">
      <selection activeCell="A200" sqref="A200:D216"/>
    </sheetView>
  </sheetViews>
  <sheetFormatPr defaultRowHeight="14.4" x14ac:dyDescent="0.3"/>
  <cols>
    <col min="1" max="1" width="23.44140625" customWidth="1"/>
    <col min="2" max="2" width="16" customWidth="1"/>
    <col min="3" max="3" width="15.21875" customWidth="1"/>
    <col min="4" max="4" width="14.44140625" customWidth="1"/>
  </cols>
  <sheetData>
    <row r="3" spans="1:4" ht="15.6" x14ac:dyDescent="0.3">
      <c r="B3" s="4" t="s">
        <v>5</v>
      </c>
      <c r="C3" s="4"/>
    </row>
    <row r="4" spans="1:4" ht="15.6" x14ac:dyDescent="0.3">
      <c r="B4" s="4" t="s">
        <v>6</v>
      </c>
      <c r="C4" s="4"/>
    </row>
    <row r="5" spans="1:4" x14ac:dyDescent="0.3">
      <c r="A5" s="5" t="s">
        <v>7</v>
      </c>
      <c r="B5" s="5"/>
      <c r="C5" s="5"/>
      <c r="D5" s="5"/>
    </row>
    <row r="6" spans="1:4" x14ac:dyDescent="0.3">
      <c r="A6" s="5"/>
      <c r="B6" s="5" t="s">
        <v>30</v>
      </c>
      <c r="C6" s="5"/>
      <c r="D6" s="5"/>
    </row>
    <row r="7" spans="1:4" x14ac:dyDescent="0.3">
      <c r="A7" t="s">
        <v>8</v>
      </c>
      <c r="B7" t="s">
        <v>15</v>
      </c>
      <c r="C7" s="6">
        <v>2</v>
      </c>
    </row>
    <row r="10" spans="1:4" ht="28.8" x14ac:dyDescent="0.3">
      <c r="A10" s="1" t="s">
        <v>0</v>
      </c>
      <c r="B10" s="2" t="s">
        <v>1</v>
      </c>
      <c r="C10" s="2" t="s">
        <v>2</v>
      </c>
      <c r="D10" s="2" t="s">
        <v>3</v>
      </c>
    </row>
    <row r="11" spans="1:4" x14ac:dyDescent="0.3">
      <c r="A11" s="3" t="s">
        <v>4</v>
      </c>
      <c r="B11" s="1">
        <v>5304.9</v>
      </c>
      <c r="C11" s="1">
        <v>5093.59</v>
      </c>
      <c r="D11" s="1">
        <v>300</v>
      </c>
    </row>
    <row r="12" spans="1:4" x14ac:dyDescent="0.3">
      <c r="A12" s="49" t="s">
        <v>10</v>
      </c>
      <c r="B12" s="50"/>
      <c r="C12" s="51"/>
      <c r="D12" s="1">
        <f>B11-D11</f>
        <v>5004.8999999999996</v>
      </c>
    </row>
    <row r="14" spans="1:4" ht="28.8" x14ac:dyDescent="0.3">
      <c r="A14" s="60" t="s">
        <v>37</v>
      </c>
      <c r="B14" s="51"/>
      <c r="C14" s="21" t="s">
        <v>41</v>
      </c>
      <c r="D14" s="3"/>
    </row>
    <row r="15" spans="1:4" x14ac:dyDescent="0.3">
      <c r="A15" s="60" t="s">
        <v>38</v>
      </c>
      <c r="B15" s="51"/>
      <c r="C15" s="1">
        <v>0</v>
      </c>
      <c r="D15" s="1"/>
    </row>
    <row r="16" spans="1:4" x14ac:dyDescent="0.3">
      <c r="A16" s="52"/>
      <c r="B16" s="51"/>
      <c r="C16" s="1"/>
      <c r="D16" s="1"/>
    </row>
    <row r="17" spans="1:4" x14ac:dyDescent="0.3">
      <c r="A17" s="52"/>
      <c r="B17" s="51"/>
      <c r="C17" s="1"/>
      <c r="D17" s="1"/>
    </row>
    <row r="18" spans="1:4" x14ac:dyDescent="0.3">
      <c r="A18" s="3" t="s">
        <v>40</v>
      </c>
      <c r="B18" s="1"/>
      <c r="C18" s="1">
        <v>0</v>
      </c>
      <c r="D18" s="1"/>
    </row>
    <row r="19" spans="1:4" x14ac:dyDescent="0.3">
      <c r="A19" s="52"/>
      <c r="B19" s="51"/>
      <c r="C19" s="1"/>
      <c r="D19" s="1"/>
    </row>
    <row r="20" spans="1:4" x14ac:dyDescent="0.3">
      <c r="A20" s="52"/>
      <c r="B20" s="51"/>
      <c r="C20" s="1"/>
      <c r="D20" s="1"/>
    </row>
    <row r="21" spans="1:4" x14ac:dyDescent="0.3">
      <c r="A21" s="61" t="s">
        <v>47</v>
      </c>
      <c r="B21" s="51"/>
      <c r="C21" s="1">
        <v>0</v>
      </c>
      <c r="D21" s="1"/>
    </row>
    <row r="22" spans="1:4" x14ac:dyDescent="0.3">
      <c r="A22" s="52"/>
      <c r="B22" s="51"/>
      <c r="C22" s="1"/>
      <c r="D22" s="1"/>
    </row>
    <row r="23" spans="1:4" x14ac:dyDescent="0.3">
      <c r="A23" s="52"/>
      <c r="B23" s="51"/>
      <c r="C23" s="1"/>
      <c r="D23" s="1"/>
    </row>
    <row r="24" spans="1:4" x14ac:dyDescent="0.3">
      <c r="A24" s="56" t="s">
        <v>52</v>
      </c>
      <c r="B24" s="57"/>
      <c r="C24" s="1">
        <v>0</v>
      </c>
      <c r="D24" s="1"/>
    </row>
    <row r="25" spans="1:4" x14ac:dyDescent="0.3">
      <c r="A25" s="52" t="s">
        <v>53</v>
      </c>
      <c r="B25" s="51"/>
      <c r="C25" s="1">
        <v>300</v>
      </c>
      <c r="D25" s="1"/>
    </row>
    <row r="26" spans="1:4" x14ac:dyDescent="0.3">
      <c r="A26" s="59" t="s">
        <v>42</v>
      </c>
      <c r="B26" s="51"/>
      <c r="C26" s="3">
        <f>SUM(C15:C25)</f>
        <v>300</v>
      </c>
      <c r="D26" s="1"/>
    </row>
    <row r="27" spans="1:4" x14ac:dyDescent="0.3">
      <c r="A27" s="14"/>
      <c r="B27" s="14"/>
      <c r="C27" s="14"/>
      <c r="D27" s="14"/>
    </row>
    <row r="28" spans="1:4" x14ac:dyDescent="0.3">
      <c r="A28" t="s">
        <v>11</v>
      </c>
    </row>
    <row r="29" spans="1:4" x14ac:dyDescent="0.3">
      <c r="A29" t="s">
        <v>12</v>
      </c>
      <c r="B29" t="s">
        <v>13</v>
      </c>
    </row>
    <row r="30" spans="1:4" ht="15.6" x14ac:dyDescent="0.3">
      <c r="B30" s="4" t="s">
        <v>5</v>
      </c>
      <c r="C30" s="4"/>
    </row>
    <row r="31" spans="1:4" ht="15.6" x14ac:dyDescent="0.3">
      <c r="B31" s="4" t="s">
        <v>6</v>
      </c>
      <c r="C31" s="4"/>
    </row>
    <row r="32" spans="1:4" x14ac:dyDescent="0.3">
      <c r="A32" s="5" t="s">
        <v>7</v>
      </c>
      <c r="B32" s="5"/>
      <c r="C32" s="5"/>
      <c r="D32" s="5"/>
    </row>
    <row r="33" spans="1:4" x14ac:dyDescent="0.3">
      <c r="A33" s="5"/>
      <c r="B33" s="5" t="s">
        <v>30</v>
      </c>
      <c r="C33" s="5"/>
      <c r="D33" s="5"/>
    </row>
    <row r="34" spans="1:4" x14ac:dyDescent="0.3">
      <c r="A34" t="s">
        <v>8</v>
      </c>
      <c r="B34" t="s">
        <v>15</v>
      </c>
      <c r="C34" s="6">
        <v>4</v>
      </c>
    </row>
    <row r="37" spans="1:4" ht="28.8" x14ac:dyDescent="0.3">
      <c r="A37" s="1" t="s">
        <v>0</v>
      </c>
      <c r="B37" s="2" t="s">
        <v>1</v>
      </c>
      <c r="C37" s="2" t="s">
        <v>2</v>
      </c>
      <c r="D37" s="2" t="s">
        <v>3</v>
      </c>
    </row>
    <row r="38" spans="1:4" x14ac:dyDescent="0.3">
      <c r="A38" s="3" t="s">
        <v>4</v>
      </c>
      <c r="B38" s="1">
        <v>4149.3</v>
      </c>
      <c r="C38" s="1">
        <v>4128.91</v>
      </c>
      <c r="D38" s="1">
        <v>0</v>
      </c>
    </row>
    <row r="39" spans="1:4" x14ac:dyDescent="0.3">
      <c r="A39" s="49" t="s">
        <v>10</v>
      </c>
      <c r="B39" s="50"/>
      <c r="C39" s="51"/>
      <c r="D39" s="1">
        <f>B38-D38</f>
        <v>4149.3</v>
      </c>
    </row>
    <row r="41" spans="1:4" ht="28.8" x14ac:dyDescent="0.3">
      <c r="A41" s="60" t="s">
        <v>37</v>
      </c>
      <c r="B41" s="51"/>
      <c r="C41" s="21" t="s">
        <v>41</v>
      </c>
      <c r="D41" s="3"/>
    </row>
    <row r="42" spans="1:4" x14ac:dyDescent="0.3">
      <c r="A42" s="60" t="s">
        <v>38</v>
      </c>
      <c r="B42" s="51"/>
      <c r="C42" s="1">
        <v>0</v>
      </c>
      <c r="D42" s="1"/>
    </row>
    <row r="43" spans="1:4" x14ac:dyDescent="0.3">
      <c r="A43" s="52"/>
      <c r="B43" s="51"/>
      <c r="C43" s="1"/>
      <c r="D43" s="1"/>
    </row>
    <row r="44" spans="1:4" x14ac:dyDescent="0.3">
      <c r="A44" s="52"/>
      <c r="B44" s="51"/>
      <c r="C44" s="1"/>
      <c r="D44" s="1"/>
    </row>
    <row r="45" spans="1:4" x14ac:dyDescent="0.3">
      <c r="A45" s="3" t="s">
        <v>40</v>
      </c>
      <c r="B45" s="1"/>
      <c r="C45" s="1">
        <v>0</v>
      </c>
      <c r="D45" s="1"/>
    </row>
    <row r="46" spans="1:4" x14ac:dyDescent="0.3">
      <c r="A46" s="52"/>
      <c r="B46" s="51"/>
      <c r="C46" s="1"/>
      <c r="D46" s="1"/>
    </row>
    <row r="47" spans="1:4" x14ac:dyDescent="0.3">
      <c r="A47" s="52"/>
      <c r="B47" s="51"/>
      <c r="C47" s="1"/>
      <c r="D47" s="1"/>
    </row>
    <row r="48" spans="1:4" x14ac:dyDescent="0.3">
      <c r="A48" s="61" t="s">
        <v>47</v>
      </c>
      <c r="B48" s="51"/>
      <c r="C48" s="1">
        <v>0</v>
      </c>
      <c r="D48" s="1"/>
    </row>
    <row r="49" spans="1:4" x14ac:dyDescent="0.3">
      <c r="A49" s="52"/>
      <c r="B49" s="51"/>
      <c r="C49" s="1"/>
      <c r="D49" s="1"/>
    </row>
    <row r="50" spans="1:4" x14ac:dyDescent="0.3">
      <c r="A50" s="52"/>
      <c r="B50" s="51"/>
      <c r="C50" s="1"/>
      <c r="D50" s="1"/>
    </row>
    <row r="51" spans="1:4" x14ac:dyDescent="0.3">
      <c r="A51" s="56" t="s">
        <v>52</v>
      </c>
      <c r="B51" s="57"/>
      <c r="C51" s="1">
        <v>0</v>
      </c>
      <c r="D51" s="1"/>
    </row>
    <row r="52" spans="1:4" x14ac:dyDescent="0.3">
      <c r="A52" s="52" t="s">
        <v>53</v>
      </c>
      <c r="B52" s="51"/>
      <c r="C52" s="1"/>
      <c r="D52" s="1"/>
    </row>
    <row r="53" spans="1:4" x14ac:dyDescent="0.3">
      <c r="A53" s="59" t="s">
        <v>42</v>
      </c>
      <c r="B53" s="51"/>
      <c r="C53" s="3">
        <f>SUM(C42:C52)</f>
        <v>0</v>
      </c>
      <c r="D53" s="1"/>
    </row>
    <row r="54" spans="1:4" x14ac:dyDescent="0.3">
      <c r="A54" s="14"/>
      <c r="B54" s="14"/>
      <c r="C54" s="14"/>
      <c r="D54" s="14"/>
    </row>
    <row r="55" spans="1:4" x14ac:dyDescent="0.3">
      <c r="A55" t="s">
        <v>11</v>
      </c>
    </row>
    <row r="56" spans="1:4" x14ac:dyDescent="0.3">
      <c r="A56" t="s">
        <v>12</v>
      </c>
      <c r="B56" t="s">
        <v>13</v>
      </c>
    </row>
    <row r="63" spans="1:4" ht="15.6" x14ac:dyDescent="0.3">
      <c r="B63" s="4" t="s">
        <v>5</v>
      </c>
      <c r="C63" s="4"/>
    </row>
    <row r="64" spans="1:4" ht="15.6" x14ac:dyDescent="0.3">
      <c r="B64" s="4" t="s">
        <v>6</v>
      </c>
      <c r="C64" s="4"/>
    </row>
    <row r="65" spans="1:4" x14ac:dyDescent="0.3">
      <c r="A65" s="5" t="s">
        <v>7</v>
      </c>
      <c r="B65" s="5"/>
      <c r="C65" s="5"/>
      <c r="D65" s="5"/>
    </row>
    <row r="66" spans="1:4" x14ac:dyDescent="0.3">
      <c r="A66" s="5"/>
      <c r="B66" s="5" t="s">
        <v>30</v>
      </c>
      <c r="C66" s="5"/>
      <c r="D66" s="5"/>
    </row>
    <row r="67" spans="1:4" x14ac:dyDescent="0.3">
      <c r="A67" t="s">
        <v>8</v>
      </c>
      <c r="B67" t="s">
        <v>15</v>
      </c>
      <c r="C67" s="6">
        <v>7</v>
      </c>
    </row>
    <row r="70" spans="1:4" ht="28.8" x14ac:dyDescent="0.3">
      <c r="A70" s="1" t="s">
        <v>0</v>
      </c>
      <c r="B70" s="2" t="s">
        <v>1</v>
      </c>
      <c r="C70" s="2" t="s">
        <v>2</v>
      </c>
      <c r="D70" s="2" t="s">
        <v>3</v>
      </c>
    </row>
    <row r="71" spans="1:4" x14ac:dyDescent="0.3">
      <c r="A71" s="3" t="s">
        <v>4</v>
      </c>
      <c r="B71" s="1">
        <v>14618.34</v>
      </c>
      <c r="C71" s="1">
        <v>14657.64</v>
      </c>
      <c r="D71" s="1">
        <v>63300</v>
      </c>
    </row>
    <row r="72" spans="1:4" x14ac:dyDescent="0.3">
      <c r="A72" s="49" t="s">
        <v>14</v>
      </c>
      <c r="B72" s="50"/>
      <c r="C72" s="51"/>
      <c r="D72" s="1">
        <f>B71-D71</f>
        <v>-48681.66</v>
      </c>
    </row>
    <row r="74" spans="1:4" ht="28.8" x14ac:dyDescent="0.3">
      <c r="A74" s="60" t="s">
        <v>37</v>
      </c>
      <c r="B74" s="51"/>
      <c r="C74" s="21" t="s">
        <v>41</v>
      </c>
      <c r="D74" s="3"/>
    </row>
    <row r="75" spans="1:4" x14ac:dyDescent="0.3">
      <c r="A75" s="60" t="s">
        <v>38</v>
      </c>
      <c r="B75" s="51"/>
      <c r="C75" s="1">
        <v>0</v>
      </c>
      <c r="D75" s="1"/>
    </row>
    <row r="76" spans="1:4" ht="32.4" customHeight="1" x14ac:dyDescent="0.3">
      <c r="A76" s="52" t="s">
        <v>120</v>
      </c>
      <c r="B76" s="51"/>
      <c r="C76" s="1">
        <v>1300</v>
      </c>
      <c r="D76" s="1"/>
    </row>
    <row r="77" spans="1:4" x14ac:dyDescent="0.3">
      <c r="A77" s="52" t="s">
        <v>119</v>
      </c>
      <c r="B77" s="51"/>
      <c r="C77" s="1">
        <v>10500</v>
      </c>
      <c r="D77" s="1"/>
    </row>
    <row r="78" spans="1:4" x14ac:dyDescent="0.3">
      <c r="A78" s="3" t="s">
        <v>40</v>
      </c>
      <c r="B78" s="1"/>
      <c r="C78" s="1">
        <v>0</v>
      </c>
      <c r="D78" s="1"/>
    </row>
    <row r="79" spans="1:4" x14ac:dyDescent="0.3">
      <c r="A79" s="52" t="s">
        <v>58</v>
      </c>
      <c r="B79" s="51"/>
      <c r="C79" s="1">
        <v>100</v>
      </c>
      <c r="D79" s="1"/>
    </row>
    <row r="80" spans="1:4" x14ac:dyDescent="0.3">
      <c r="A80" s="52" t="s">
        <v>113</v>
      </c>
      <c r="B80" s="51"/>
      <c r="C80" s="1">
        <v>51100</v>
      </c>
      <c r="D80" s="1"/>
    </row>
    <row r="81" spans="1:4" x14ac:dyDescent="0.3">
      <c r="A81" s="61" t="s">
        <v>47</v>
      </c>
      <c r="B81" s="51"/>
      <c r="C81" s="1">
        <v>0</v>
      </c>
      <c r="D81" s="1"/>
    </row>
    <row r="82" spans="1:4" x14ac:dyDescent="0.3">
      <c r="A82" s="52" t="s">
        <v>64</v>
      </c>
      <c r="B82" s="51"/>
      <c r="C82" s="1">
        <v>300</v>
      </c>
      <c r="D82" s="1"/>
    </row>
    <row r="83" spans="1:4" x14ac:dyDescent="0.3">
      <c r="A83" s="52"/>
      <c r="B83" s="51"/>
      <c r="C83" s="1"/>
      <c r="D83" s="1"/>
    </row>
    <row r="84" spans="1:4" x14ac:dyDescent="0.3">
      <c r="A84" s="56" t="s">
        <v>52</v>
      </c>
      <c r="B84" s="57"/>
      <c r="C84" s="1">
        <v>0</v>
      </c>
      <c r="D84" s="1"/>
    </row>
    <row r="85" spans="1:4" x14ac:dyDescent="0.3">
      <c r="A85" s="52" t="s">
        <v>53</v>
      </c>
      <c r="B85" s="51"/>
      <c r="C85" s="1"/>
      <c r="D85" s="1"/>
    </row>
    <row r="86" spans="1:4" x14ac:dyDescent="0.3">
      <c r="A86" s="59" t="s">
        <v>42</v>
      </c>
      <c r="B86" s="51"/>
      <c r="C86" s="3">
        <f>SUM(C75:C85)</f>
        <v>63300</v>
      </c>
      <c r="D86" s="1"/>
    </row>
    <row r="87" spans="1:4" x14ac:dyDescent="0.3">
      <c r="A87" s="14"/>
      <c r="B87" s="14"/>
      <c r="C87" s="14"/>
      <c r="D87" s="14"/>
    </row>
    <row r="88" spans="1:4" x14ac:dyDescent="0.3">
      <c r="A88" t="s">
        <v>11</v>
      </c>
    </row>
    <row r="89" spans="1:4" x14ac:dyDescent="0.3">
      <c r="A89" t="s">
        <v>12</v>
      </c>
      <c r="B89" t="s">
        <v>13</v>
      </c>
    </row>
    <row r="94" spans="1:4" ht="15.6" x14ac:dyDescent="0.3">
      <c r="B94" s="4" t="s">
        <v>5</v>
      </c>
      <c r="C94" s="4"/>
    </row>
    <row r="95" spans="1:4" ht="15.6" x14ac:dyDescent="0.3">
      <c r="B95" s="4" t="s">
        <v>6</v>
      </c>
      <c r="C95" s="4"/>
    </row>
    <row r="96" spans="1:4" x14ac:dyDescent="0.3">
      <c r="A96" s="5" t="s">
        <v>7</v>
      </c>
      <c r="B96" s="5"/>
      <c r="C96" s="5"/>
      <c r="D96" s="5"/>
    </row>
    <row r="97" spans="1:4" x14ac:dyDescent="0.3">
      <c r="A97" s="5"/>
      <c r="B97" s="5" t="s">
        <v>30</v>
      </c>
      <c r="C97" s="5"/>
      <c r="D97" s="5"/>
    </row>
    <row r="98" spans="1:4" x14ac:dyDescent="0.3">
      <c r="A98" t="s">
        <v>8</v>
      </c>
      <c r="B98" t="s">
        <v>15</v>
      </c>
      <c r="C98" s="6" t="s">
        <v>16</v>
      </c>
    </row>
    <row r="101" spans="1:4" ht="28.8" x14ac:dyDescent="0.3">
      <c r="A101" s="1" t="s">
        <v>0</v>
      </c>
      <c r="B101" s="2" t="s">
        <v>1</v>
      </c>
      <c r="C101" s="2" t="s">
        <v>2</v>
      </c>
      <c r="D101" s="2" t="s">
        <v>3</v>
      </c>
    </row>
    <row r="102" spans="1:4" x14ac:dyDescent="0.3">
      <c r="A102" s="3" t="s">
        <v>4</v>
      </c>
      <c r="B102" s="1">
        <v>25185.06</v>
      </c>
      <c r="C102" s="1">
        <v>20957.189999999999</v>
      </c>
      <c r="D102" s="1">
        <v>4000</v>
      </c>
    </row>
    <row r="103" spans="1:4" x14ac:dyDescent="0.3">
      <c r="A103" s="49" t="s">
        <v>10</v>
      </c>
      <c r="B103" s="50"/>
      <c r="C103" s="51"/>
      <c r="D103" s="1">
        <f>B102-D102</f>
        <v>21185.06</v>
      </c>
    </row>
    <row r="105" spans="1:4" ht="28.8" x14ac:dyDescent="0.3">
      <c r="A105" s="60" t="s">
        <v>37</v>
      </c>
      <c r="B105" s="51"/>
      <c r="C105" s="21" t="s">
        <v>41</v>
      </c>
      <c r="D105" s="3"/>
    </row>
    <row r="106" spans="1:4" x14ac:dyDescent="0.3">
      <c r="A106" s="60" t="s">
        <v>38</v>
      </c>
      <c r="B106" s="51"/>
      <c r="C106" s="1">
        <v>0</v>
      </c>
      <c r="D106" s="1"/>
    </row>
    <row r="107" spans="1:4" x14ac:dyDescent="0.3">
      <c r="A107" s="52"/>
      <c r="B107" s="51"/>
      <c r="C107" s="1"/>
      <c r="D107" s="1"/>
    </row>
    <row r="108" spans="1:4" x14ac:dyDescent="0.3">
      <c r="A108" s="52"/>
      <c r="B108" s="51"/>
      <c r="C108" s="1"/>
      <c r="D108" s="1"/>
    </row>
    <row r="109" spans="1:4" x14ac:dyDescent="0.3">
      <c r="A109" s="3" t="s">
        <v>40</v>
      </c>
      <c r="B109" s="1"/>
      <c r="C109" s="1">
        <v>0</v>
      </c>
      <c r="D109" s="1"/>
    </row>
    <row r="110" spans="1:4" x14ac:dyDescent="0.3">
      <c r="A110" s="52" t="s">
        <v>66</v>
      </c>
      <c r="B110" s="51"/>
      <c r="C110" s="1">
        <v>3600</v>
      </c>
      <c r="D110" s="1"/>
    </row>
    <row r="111" spans="1:4" x14ac:dyDescent="0.3">
      <c r="A111" s="52"/>
      <c r="B111" s="51"/>
      <c r="C111" s="1"/>
      <c r="D111" s="1"/>
    </row>
    <row r="112" spans="1:4" ht="14.4" customHeight="1" x14ac:dyDescent="0.3">
      <c r="A112" s="61" t="s">
        <v>47</v>
      </c>
      <c r="B112" s="51"/>
      <c r="C112" s="1">
        <v>0</v>
      </c>
      <c r="D112" s="1"/>
    </row>
    <row r="113" spans="1:4" x14ac:dyDescent="0.3">
      <c r="A113" s="52"/>
      <c r="B113" s="51"/>
      <c r="C113" s="1"/>
      <c r="D113" s="1"/>
    </row>
    <row r="114" spans="1:4" x14ac:dyDescent="0.3">
      <c r="A114" s="52"/>
      <c r="B114" s="51"/>
      <c r="C114" s="1"/>
      <c r="D114" s="1"/>
    </row>
    <row r="115" spans="1:4" x14ac:dyDescent="0.3">
      <c r="A115" s="56" t="s">
        <v>52</v>
      </c>
      <c r="B115" s="57"/>
      <c r="C115" s="1">
        <v>0</v>
      </c>
      <c r="D115" s="1"/>
    </row>
    <row r="116" spans="1:4" ht="14.4" customHeight="1" x14ac:dyDescent="0.3">
      <c r="A116" s="52" t="s">
        <v>53</v>
      </c>
      <c r="B116" s="51"/>
      <c r="C116" s="1">
        <v>400</v>
      </c>
      <c r="D116" s="1"/>
    </row>
    <row r="117" spans="1:4" x14ac:dyDescent="0.3">
      <c r="A117" s="59" t="s">
        <v>42</v>
      </c>
      <c r="B117" s="51"/>
      <c r="C117" s="3">
        <f>SUM(C106:C116)</f>
        <v>4000</v>
      </c>
      <c r="D117" s="1"/>
    </row>
    <row r="118" spans="1:4" x14ac:dyDescent="0.3">
      <c r="A118" s="14"/>
      <c r="B118" s="14"/>
      <c r="C118" s="14"/>
      <c r="D118" s="14"/>
    </row>
    <row r="119" spans="1:4" x14ac:dyDescent="0.3">
      <c r="A119" t="s">
        <v>11</v>
      </c>
    </row>
    <row r="120" spans="1:4" x14ac:dyDescent="0.3">
      <c r="A120" t="s">
        <v>12</v>
      </c>
      <c r="B120" t="s">
        <v>13</v>
      </c>
    </row>
    <row r="124" spans="1:4" ht="15.6" x14ac:dyDescent="0.3">
      <c r="B124" s="4" t="s">
        <v>5</v>
      </c>
      <c r="C124" s="4"/>
    </row>
    <row r="125" spans="1:4" ht="15.6" x14ac:dyDescent="0.3">
      <c r="B125" s="4" t="s">
        <v>6</v>
      </c>
      <c r="C125" s="4"/>
    </row>
    <row r="126" spans="1:4" x14ac:dyDescent="0.3">
      <c r="A126" s="5" t="s">
        <v>7</v>
      </c>
      <c r="B126" s="5"/>
      <c r="C126" s="5"/>
      <c r="D126" s="5"/>
    </row>
    <row r="127" spans="1:4" x14ac:dyDescent="0.3">
      <c r="A127" s="5"/>
      <c r="B127" s="5" t="s">
        <v>30</v>
      </c>
      <c r="C127" s="5"/>
      <c r="D127" s="5"/>
    </row>
    <row r="128" spans="1:4" x14ac:dyDescent="0.3">
      <c r="A128" t="s">
        <v>8</v>
      </c>
      <c r="B128" t="s">
        <v>15</v>
      </c>
      <c r="C128" s="6">
        <v>11</v>
      </c>
    </row>
    <row r="131" spans="1:4" ht="28.8" x14ac:dyDescent="0.3">
      <c r="A131" s="1" t="s">
        <v>0</v>
      </c>
      <c r="B131" s="2" t="s">
        <v>1</v>
      </c>
      <c r="C131" s="2" t="s">
        <v>2</v>
      </c>
      <c r="D131" s="2" t="s">
        <v>3</v>
      </c>
    </row>
    <row r="132" spans="1:4" x14ac:dyDescent="0.3">
      <c r="A132" s="3" t="s">
        <v>4</v>
      </c>
      <c r="B132" s="1">
        <v>17960.16</v>
      </c>
      <c r="C132" s="1">
        <v>17481.419999999998</v>
      </c>
      <c r="D132" s="1">
        <v>28400</v>
      </c>
    </row>
    <row r="133" spans="1:4" x14ac:dyDescent="0.3">
      <c r="A133" s="49" t="s">
        <v>14</v>
      </c>
      <c r="B133" s="50"/>
      <c r="C133" s="51"/>
      <c r="D133" s="1">
        <f>B132-D132</f>
        <v>-10439.84</v>
      </c>
    </row>
    <row r="135" spans="1:4" ht="28.8" x14ac:dyDescent="0.3">
      <c r="A135" s="60" t="s">
        <v>37</v>
      </c>
      <c r="B135" s="51"/>
      <c r="C135" s="21" t="s">
        <v>41</v>
      </c>
      <c r="D135" s="3"/>
    </row>
    <row r="136" spans="1:4" x14ac:dyDescent="0.3">
      <c r="A136" s="60" t="s">
        <v>38</v>
      </c>
      <c r="B136" s="51"/>
      <c r="C136" s="1">
        <v>0</v>
      </c>
      <c r="D136" s="1"/>
    </row>
    <row r="137" spans="1:4" x14ac:dyDescent="0.3">
      <c r="A137" s="52" t="s">
        <v>39</v>
      </c>
      <c r="B137" s="51"/>
      <c r="C137" s="1">
        <f>3400+3400</f>
        <v>6800</v>
      </c>
      <c r="D137" s="1"/>
    </row>
    <row r="138" spans="1:4" x14ac:dyDescent="0.3">
      <c r="A138" s="52"/>
      <c r="B138" s="51"/>
      <c r="C138" s="1"/>
      <c r="D138" s="1"/>
    </row>
    <row r="139" spans="1:4" x14ac:dyDescent="0.3">
      <c r="A139" s="3" t="s">
        <v>40</v>
      </c>
      <c r="B139" s="1"/>
      <c r="C139" s="1">
        <v>0</v>
      </c>
      <c r="D139" s="1"/>
    </row>
    <row r="140" spans="1:4" x14ac:dyDescent="0.3">
      <c r="A140" s="52" t="s">
        <v>70</v>
      </c>
      <c r="B140" s="51"/>
      <c r="C140" s="1">
        <v>19400</v>
      </c>
      <c r="D140" s="1"/>
    </row>
    <row r="141" spans="1:4" x14ac:dyDescent="0.3">
      <c r="A141" s="52"/>
      <c r="B141" s="51"/>
      <c r="C141" s="1"/>
      <c r="D141" s="1"/>
    </row>
    <row r="142" spans="1:4" x14ac:dyDescent="0.3">
      <c r="A142" s="61" t="s">
        <v>47</v>
      </c>
      <c r="B142" s="51"/>
      <c r="C142" s="1">
        <v>0</v>
      </c>
      <c r="D142" s="1"/>
    </row>
    <row r="143" spans="1:4" x14ac:dyDescent="0.3">
      <c r="A143" s="52" t="s">
        <v>64</v>
      </c>
      <c r="B143" s="51"/>
      <c r="C143" s="1">
        <f>1300+300</f>
        <v>1600</v>
      </c>
      <c r="D143" s="1"/>
    </row>
    <row r="144" spans="1:4" x14ac:dyDescent="0.3">
      <c r="A144" s="52"/>
      <c r="B144" s="51"/>
      <c r="C144" s="1"/>
      <c r="D144" s="1"/>
    </row>
    <row r="145" spans="1:4" x14ac:dyDescent="0.3">
      <c r="A145" s="56" t="s">
        <v>52</v>
      </c>
      <c r="B145" s="57"/>
      <c r="C145" s="1">
        <v>0</v>
      </c>
      <c r="D145" s="1"/>
    </row>
    <row r="146" spans="1:4" x14ac:dyDescent="0.3">
      <c r="A146" s="52" t="s">
        <v>53</v>
      </c>
      <c r="B146" s="51"/>
      <c r="C146" s="1">
        <v>600</v>
      </c>
      <c r="D146" s="1"/>
    </row>
    <row r="147" spans="1:4" x14ac:dyDescent="0.3">
      <c r="A147" s="59" t="s">
        <v>42</v>
      </c>
      <c r="B147" s="51"/>
      <c r="C147" s="3">
        <f>SUM(C136:C146)</f>
        <v>28400</v>
      </c>
      <c r="D147" s="1"/>
    </row>
    <row r="148" spans="1:4" x14ac:dyDescent="0.3">
      <c r="A148" s="14"/>
      <c r="B148" s="14"/>
      <c r="C148" s="14"/>
      <c r="D148" s="14"/>
    </row>
    <row r="149" spans="1:4" x14ac:dyDescent="0.3">
      <c r="A149" t="s">
        <v>11</v>
      </c>
    </row>
    <row r="150" spans="1:4" x14ac:dyDescent="0.3">
      <c r="A150" t="s">
        <v>12</v>
      </c>
      <c r="B150" t="s">
        <v>13</v>
      </c>
    </row>
    <row r="157" spans="1:4" ht="15.6" x14ac:dyDescent="0.3">
      <c r="B157" s="4" t="s">
        <v>5</v>
      </c>
      <c r="C157" s="4"/>
    </row>
    <row r="158" spans="1:4" ht="15.6" x14ac:dyDescent="0.3">
      <c r="B158" s="4" t="s">
        <v>6</v>
      </c>
      <c r="C158" s="4"/>
    </row>
    <row r="159" spans="1:4" x14ac:dyDescent="0.3">
      <c r="A159" s="5" t="s">
        <v>7</v>
      </c>
      <c r="B159" s="5"/>
      <c r="C159" s="5"/>
      <c r="D159" s="5"/>
    </row>
    <row r="160" spans="1:4" x14ac:dyDescent="0.3">
      <c r="A160" s="5"/>
      <c r="B160" s="5" t="s">
        <v>30</v>
      </c>
      <c r="C160" s="5"/>
      <c r="D160" s="5"/>
    </row>
    <row r="161" spans="1:4" x14ac:dyDescent="0.3">
      <c r="A161" t="s">
        <v>8</v>
      </c>
      <c r="B161" t="s">
        <v>15</v>
      </c>
      <c r="C161" s="6">
        <v>13</v>
      </c>
    </row>
    <row r="164" spans="1:4" ht="28.8" x14ac:dyDescent="0.3">
      <c r="A164" s="1" t="s">
        <v>0</v>
      </c>
      <c r="B164" s="2" t="s">
        <v>1</v>
      </c>
      <c r="C164" s="2" t="s">
        <v>2</v>
      </c>
      <c r="D164" s="2" t="s">
        <v>3</v>
      </c>
    </row>
    <row r="165" spans="1:4" x14ac:dyDescent="0.3">
      <c r="A165" s="3" t="s">
        <v>4</v>
      </c>
      <c r="B165" s="1">
        <v>34203.24</v>
      </c>
      <c r="C165" s="1">
        <v>26681.15</v>
      </c>
      <c r="D165" s="1">
        <v>12900</v>
      </c>
    </row>
    <row r="166" spans="1:4" x14ac:dyDescent="0.3">
      <c r="A166" s="49" t="s">
        <v>35</v>
      </c>
      <c r="B166" s="50"/>
      <c r="C166" s="51"/>
      <c r="D166" s="1">
        <f>B165-D165</f>
        <v>21303.239999999998</v>
      </c>
    </row>
    <row r="168" spans="1:4" ht="28.8" x14ac:dyDescent="0.3">
      <c r="A168" s="60" t="s">
        <v>37</v>
      </c>
      <c r="B168" s="51"/>
      <c r="C168" s="21" t="s">
        <v>41</v>
      </c>
      <c r="D168" s="3"/>
    </row>
    <row r="169" spans="1:4" x14ac:dyDescent="0.3">
      <c r="A169" s="60" t="s">
        <v>38</v>
      </c>
      <c r="B169" s="51"/>
      <c r="C169" s="1">
        <v>0</v>
      </c>
      <c r="D169" s="1"/>
    </row>
    <row r="170" spans="1:4" x14ac:dyDescent="0.3">
      <c r="A170" s="52" t="s">
        <v>39</v>
      </c>
      <c r="B170" s="51"/>
      <c r="C170" s="1">
        <f>2800+5700+2800</f>
        <v>11300</v>
      </c>
      <c r="D170" s="1"/>
    </row>
    <row r="171" spans="1:4" x14ac:dyDescent="0.3">
      <c r="A171" s="52"/>
      <c r="B171" s="51"/>
      <c r="C171" s="1"/>
      <c r="D171" s="1"/>
    </row>
    <row r="172" spans="1:4" x14ac:dyDescent="0.3">
      <c r="A172" s="3" t="s">
        <v>40</v>
      </c>
      <c r="B172" s="1"/>
      <c r="C172" s="1">
        <v>0</v>
      </c>
      <c r="D172" s="1"/>
    </row>
    <row r="173" spans="1:4" x14ac:dyDescent="0.3">
      <c r="A173" s="52" t="s">
        <v>121</v>
      </c>
      <c r="B173" s="51"/>
      <c r="C173" s="1">
        <f>200+200</f>
        <v>400</v>
      </c>
      <c r="D173" s="1"/>
    </row>
    <row r="174" spans="1:4" x14ac:dyDescent="0.3">
      <c r="A174" s="52"/>
      <c r="B174" s="51"/>
      <c r="C174" s="1"/>
      <c r="D174" s="1"/>
    </row>
    <row r="175" spans="1:4" ht="14.4" customHeight="1" x14ac:dyDescent="0.3">
      <c r="A175" s="61" t="s">
        <v>47</v>
      </c>
      <c r="B175" s="51"/>
      <c r="C175" s="1">
        <v>0</v>
      </c>
      <c r="D175" s="1"/>
    </row>
    <row r="176" spans="1:4" x14ac:dyDescent="0.3">
      <c r="A176" s="52" t="s">
        <v>122</v>
      </c>
      <c r="B176" s="51"/>
      <c r="C176" s="1">
        <v>100</v>
      </c>
      <c r="D176" s="1"/>
    </row>
    <row r="177" spans="1:4" x14ac:dyDescent="0.3">
      <c r="A177" s="52"/>
      <c r="B177" s="51"/>
      <c r="C177" s="1"/>
      <c r="D177" s="1"/>
    </row>
    <row r="178" spans="1:4" x14ac:dyDescent="0.3">
      <c r="A178" s="56" t="s">
        <v>52</v>
      </c>
      <c r="B178" s="57"/>
      <c r="C178" s="1">
        <v>0</v>
      </c>
      <c r="D178" s="1"/>
    </row>
    <row r="179" spans="1:4" ht="14.4" customHeight="1" x14ac:dyDescent="0.3">
      <c r="A179" s="52" t="s">
        <v>53</v>
      </c>
      <c r="B179" s="51"/>
      <c r="C179" s="1">
        <v>1100</v>
      </c>
      <c r="D179" s="1"/>
    </row>
    <row r="180" spans="1:4" x14ac:dyDescent="0.3">
      <c r="A180" s="59" t="s">
        <v>42</v>
      </c>
      <c r="B180" s="51"/>
      <c r="C180" s="3">
        <f>SUM(C169:C179)</f>
        <v>12900</v>
      </c>
      <c r="D180" s="1"/>
    </row>
    <row r="181" spans="1:4" x14ac:dyDescent="0.3">
      <c r="A181" s="14"/>
      <c r="B181" s="14"/>
      <c r="C181" s="14"/>
      <c r="D181" s="14"/>
    </row>
    <row r="182" spans="1:4" x14ac:dyDescent="0.3">
      <c r="A182" t="s">
        <v>11</v>
      </c>
    </row>
    <row r="183" spans="1:4" x14ac:dyDescent="0.3">
      <c r="A183" t="s">
        <v>12</v>
      </c>
      <c r="B183" t="s">
        <v>13</v>
      </c>
    </row>
    <row r="189" spans="1:4" ht="15.6" x14ac:dyDescent="0.3">
      <c r="B189" s="4" t="s">
        <v>5</v>
      </c>
      <c r="C189" s="4"/>
    </row>
    <row r="190" spans="1:4" ht="15.6" x14ac:dyDescent="0.3">
      <c r="B190" s="4" t="s">
        <v>6</v>
      </c>
      <c r="C190" s="4"/>
    </row>
    <row r="191" spans="1:4" x14ac:dyDescent="0.3">
      <c r="A191" s="5" t="s">
        <v>7</v>
      </c>
      <c r="B191" s="5"/>
      <c r="C191" s="5"/>
      <c r="D191" s="5"/>
    </row>
    <row r="192" spans="1:4" x14ac:dyDescent="0.3">
      <c r="A192" s="5"/>
      <c r="B192" s="5" t="s">
        <v>30</v>
      </c>
      <c r="C192" s="5"/>
      <c r="D192" s="5"/>
    </row>
    <row r="193" spans="1:4" x14ac:dyDescent="0.3">
      <c r="A193" t="s">
        <v>8</v>
      </c>
      <c r="B193" t="s">
        <v>15</v>
      </c>
      <c r="C193" s="6">
        <v>15</v>
      </c>
    </row>
    <row r="196" spans="1:4" ht="28.8" x14ac:dyDescent="0.3">
      <c r="A196" s="1" t="s">
        <v>0</v>
      </c>
      <c r="B196" s="2" t="s">
        <v>1</v>
      </c>
      <c r="C196" s="2" t="s">
        <v>2</v>
      </c>
      <c r="D196" s="2" t="s">
        <v>3</v>
      </c>
    </row>
    <row r="197" spans="1:4" x14ac:dyDescent="0.3">
      <c r="A197" s="3" t="s">
        <v>4</v>
      </c>
      <c r="B197" s="1">
        <v>17411.7</v>
      </c>
      <c r="C197" s="1">
        <v>17296.080000000002</v>
      </c>
      <c r="D197" s="1">
        <v>500</v>
      </c>
    </row>
    <row r="198" spans="1:4" x14ac:dyDescent="0.3">
      <c r="A198" s="49" t="s">
        <v>31</v>
      </c>
      <c r="B198" s="50"/>
      <c r="C198" s="51"/>
      <c r="D198" s="1">
        <f>B197-D197</f>
        <v>16911.7</v>
      </c>
    </row>
    <row r="200" spans="1:4" ht="28.8" x14ac:dyDescent="0.3">
      <c r="A200" s="60" t="s">
        <v>37</v>
      </c>
      <c r="B200" s="51"/>
      <c r="C200" s="21" t="s">
        <v>41</v>
      </c>
      <c r="D200" s="3"/>
    </row>
    <row r="201" spans="1:4" x14ac:dyDescent="0.3">
      <c r="A201" s="60" t="s">
        <v>38</v>
      </c>
      <c r="B201" s="51"/>
      <c r="C201" s="1">
        <v>0</v>
      </c>
      <c r="D201" s="1"/>
    </row>
    <row r="202" spans="1:4" x14ac:dyDescent="0.3">
      <c r="A202" s="52" t="s">
        <v>39</v>
      </c>
      <c r="B202" s="51"/>
      <c r="C202" s="1">
        <v>200</v>
      </c>
      <c r="D202" s="1"/>
    </row>
    <row r="203" spans="1:4" x14ac:dyDescent="0.3">
      <c r="A203" s="52"/>
      <c r="B203" s="51"/>
      <c r="C203" s="1"/>
      <c r="D203" s="1"/>
    </row>
    <row r="204" spans="1:4" x14ac:dyDescent="0.3">
      <c r="A204" s="3" t="s">
        <v>40</v>
      </c>
      <c r="B204" s="1"/>
      <c r="C204" s="1">
        <v>0</v>
      </c>
      <c r="D204" s="1"/>
    </row>
    <row r="205" spans="1:4" ht="14.4" customHeight="1" x14ac:dyDescent="0.3">
      <c r="A205" s="52"/>
      <c r="B205" s="51"/>
      <c r="C205" s="1"/>
      <c r="D205" s="1"/>
    </row>
    <row r="206" spans="1:4" x14ac:dyDescent="0.3">
      <c r="A206" s="52"/>
      <c r="B206" s="51"/>
      <c r="C206" s="1"/>
      <c r="D206" s="1"/>
    </row>
    <row r="207" spans="1:4" ht="14.4" customHeight="1" x14ac:dyDescent="0.3">
      <c r="A207" s="61" t="s">
        <v>47</v>
      </c>
      <c r="B207" s="51"/>
      <c r="C207" s="1">
        <v>0</v>
      </c>
      <c r="D207" s="1"/>
    </row>
    <row r="208" spans="1:4" x14ac:dyDescent="0.3">
      <c r="A208" s="52"/>
      <c r="B208" s="51"/>
      <c r="C208" s="1"/>
      <c r="D208" s="1"/>
    </row>
    <row r="209" spans="1:4" x14ac:dyDescent="0.3">
      <c r="A209" s="52"/>
      <c r="B209" s="51"/>
      <c r="C209" s="1"/>
      <c r="D209" s="1"/>
    </row>
    <row r="210" spans="1:4" x14ac:dyDescent="0.3">
      <c r="A210" s="56" t="s">
        <v>52</v>
      </c>
      <c r="B210" s="57"/>
      <c r="C210" s="1">
        <v>0</v>
      </c>
      <c r="D210" s="1"/>
    </row>
    <row r="211" spans="1:4" x14ac:dyDescent="0.3">
      <c r="A211" s="52" t="s">
        <v>53</v>
      </c>
      <c r="B211" s="51"/>
      <c r="C211" s="1">
        <v>300</v>
      </c>
      <c r="D211" s="1"/>
    </row>
    <row r="212" spans="1:4" x14ac:dyDescent="0.3">
      <c r="A212" s="59" t="s">
        <v>42</v>
      </c>
      <c r="B212" s="51"/>
      <c r="C212" s="3">
        <f>SUM(C201:C211)</f>
        <v>500</v>
      </c>
      <c r="D212" s="1"/>
    </row>
    <row r="213" spans="1:4" x14ac:dyDescent="0.3">
      <c r="A213" s="14"/>
      <c r="B213" s="14"/>
      <c r="C213" s="14"/>
      <c r="D213" s="14"/>
    </row>
    <row r="214" spans="1:4" x14ac:dyDescent="0.3">
      <c r="A214" t="s">
        <v>11</v>
      </c>
    </row>
    <row r="215" spans="1:4" x14ac:dyDescent="0.3">
      <c r="A215" t="s">
        <v>12</v>
      </c>
      <c r="B215" t="s">
        <v>13</v>
      </c>
    </row>
  </sheetData>
  <mergeCells count="91">
    <mergeCell ref="A198:C198"/>
    <mergeCell ref="A12:C12"/>
    <mergeCell ref="A39:C39"/>
    <mergeCell ref="A72:C72"/>
    <mergeCell ref="A103:C103"/>
    <mergeCell ref="A133:C133"/>
    <mergeCell ref="A166:C166"/>
    <mergeCell ref="A43:B43"/>
    <mergeCell ref="A44:B44"/>
    <mergeCell ref="A46:B46"/>
    <mergeCell ref="A47:B47"/>
    <mergeCell ref="A48:B48"/>
    <mergeCell ref="A49:B49"/>
    <mergeCell ref="A50:B50"/>
    <mergeCell ref="A51:B51"/>
    <mergeCell ref="A52:B52"/>
    <mergeCell ref="A200:B200"/>
    <mergeCell ref="A201:B201"/>
    <mergeCell ref="A202:B202"/>
    <mergeCell ref="A203:B203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41:B41"/>
    <mergeCell ref="A42:B42"/>
    <mergeCell ref="A53:B5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4:B84"/>
    <mergeCell ref="A85:B85"/>
    <mergeCell ref="A86:B86"/>
    <mergeCell ref="A105:B105"/>
    <mergeCell ref="A106:B106"/>
    <mergeCell ref="A107:B107"/>
    <mergeCell ref="A108:B108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35:B135"/>
    <mergeCell ref="A136:B136"/>
    <mergeCell ref="A137:B137"/>
    <mergeCell ref="A138:B138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68:B168"/>
    <mergeCell ref="A169:B169"/>
    <mergeCell ref="A170:B170"/>
    <mergeCell ref="A177:B177"/>
    <mergeCell ref="A178:B178"/>
    <mergeCell ref="A179:B179"/>
    <mergeCell ref="A180:B180"/>
    <mergeCell ref="A171:B171"/>
    <mergeCell ref="A173:B173"/>
    <mergeCell ref="A174:B174"/>
    <mergeCell ref="A175:B175"/>
    <mergeCell ref="A176:B17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6"/>
  <sheetViews>
    <sheetView topLeftCell="A640" workbookViewId="0">
      <selection activeCell="A660" sqref="A660:C660"/>
    </sheetView>
  </sheetViews>
  <sheetFormatPr defaultRowHeight="14.4" x14ac:dyDescent="0.3"/>
  <cols>
    <col min="1" max="1" width="26" customWidth="1"/>
    <col min="2" max="2" width="17.77734375" customWidth="1"/>
    <col min="3" max="3" width="13.6640625" customWidth="1"/>
    <col min="4" max="4" width="17.5546875" customWidth="1"/>
  </cols>
  <sheetData>
    <row r="1" spans="1:4" ht="15.6" x14ac:dyDescent="0.3">
      <c r="B1" s="4"/>
      <c r="C1" s="4"/>
    </row>
    <row r="2" spans="1:4" ht="15.6" x14ac:dyDescent="0.3">
      <c r="B2" s="4"/>
      <c r="C2" s="4"/>
    </row>
    <row r="3" spans="1:4" x14ac:dyDescent="0.3">
      <c r="A3" s="5"/>
      <c r="B3" s="5"/>
      <c r="C3" s="5"/>
      <c r="D3" s="5"/>
    </row>
    <row r="4" spans="1:4" x14ac:dyDescent="0.3">
      <c r="A4" s="5"/>
      <c r="B4" s="5"/>
      <c r="C4" s="5"/>
      <c r="D4" s="5"/>
    </row>
    <row r="5" spans="1:4" x14ac:dyDescent="0.3">
      <c r="C5" s="6"/>
    </row>
    <row r="7" spans="1:4" ht="15" customHeight="1" x14ac:dyDescent="0.3"/>
    <row r="8" spans="1:4" ht="15.6" x14ac:dyDescent="0.3">
      <c r="B8" s="4" t="s">
        <v>5</v>
      </c>
      <c r="C8" s="4"/>
    </row>
    <row r="9" spans="1:4" ht="15.6" x14ac:dyDescent="0.3">
      <c r="B9" s="4" t="s">
        <v>6</v>
      </c>
      <c r="C9" s="4"/>
    </row>
    <row r="10" spans="1:4" x14ac:dyDescent="0.3">
      <c r="A10" s="5" t="s">
        <v>7</v>
      </c>
      <c r="B10" s="5"/>
      <c r="C10" s="5"/>
      <c r="D10" s="5"/>
    </row>
    <row r="11" spans="1:4" x14ac:dyDescent="0.3">
      <c r="A11" s="5"/>
      <c r="B11" s="5" t="s">
        <v>30</v>
      </c>
      <c r="C11" s="5"/>
      <c r="D11" s="5"/>
    </row>
    <row r="12" spans="1:4" x14ac:dyDescent="0.3">
      <c r="A12" t="s">
        <v>8</v>
      </c>
      <c r="B12" t="s">
        <v>9</v>
      </c>
      <c r="C12" s="6">
        <v>1</v>
      </c>
    </row>
    <row r="15" spans="1:4" ht="28.8" x14ac:dyDescent="0.3">
      <c r="A15" s="1" t="s">
        <v>0</v>
      </c>
      <c r="B15" s="2" t="s">
        <v>1</v>
      </c>
      <c r="C15" s="2" t="s">
        <v>2</v>
      </c>
      <c r="D15" s="2" t="s">
        <v>3</v>
      </c>
    </row>
    <row r="16" spans="1:4" x14ac:dyDescent="0.3">
      <c r="A16" s="3" t="s">
        <v>4</v>
      </c>
      <c r="B16" s="1">
        <v>34288.379999999997</v>
      </c>
      <c r="C16" s="1">
        <v>30082.62</v>
      </c>
      <c r="D16" s="1">
        <v>28400</v>
      </c>
    </row>
    <row r="17" spans="1:4" x14ac:dyDescent="0.3">
      <c r="A17" s="49" t="s">
        <v>10</v>
      </c>
      <c r="B17" s="50"/>
      <c r="C17" s="51"/>
      <c r="D17" s="1">
        <f>B16-D16</f>
        <v>5888.3799999999974</v>
      </c>
    </row>
    <row r="19" spans="1:4" ht="28.8" x14ac:dyDescent="0.3">
      <c r="A19" s="60" t="s">
        <v>37</v>
      </c>
      <c r="B19" s="51"/>
      <c r="C19" s="21" t="s">
        <v>41</v>
      </c>
      <c r="D19" s="3"/>
    </row>
    <row r="20" spans="1:4" x14ac:dyDescent="0.3">
      <c r="A20" s="60" t="s">
        <v>38</v>
      </c>
      <c r="B20" s="51"/>
      <c r="C20" s="1">
        <v>0</v>
      </c>
      <c r="D20" s="1"/>
    </row>
    <row r="21" spans="1:4" x14ac:dyDescent="0.3">
      <c r="A21" s="52" t="s">
        <v>123</v>
      </c>
      <c r="B21" s="51"/>
      <c r="C21" s="1">
        <f>2800+4000+9800+4000+5900</f>
        <v>26500</v>
      </c>
      <c r="D21" s="1"/>
    </row>
    <row r="22" spans="1:4" x14ac:dyDescent="0.3">
      <c r="A22" s="52"/>
      <c r="B22" s="51"/>
      <c r="C22" s="1"/>
      <c r="D22" s="1"/>
    </row>
    <row r="23" spans="1:4" x14ac:dyDescent="0.3">
      <c r="A23" s="60" t="s">
        <v>40</v>
      </c>
      <c r="B23" s="51"/>
      <c r="C23" s="1">
        <v>0</v>
      </c>
      <c r="D23" s="1"/>
    </row>
    <row r="24" spans="1:4" x14ac:dyDescent="0.3">
      <c r="A24" s="52"/>
      <c r="B24" s="51"/>
      <c r="C24" s="1"/>
      <c r="D24" s="1"/>
    </row>
    <row r="25" spans="1:4" x14ac:dyDescent="0.3">
      <c r="A25" s="52"/>
      <c r="B25" s="51"/>
      <c r="C25" s="1"/>
      <c r="D25" s="1"/>
    </row>
    <row r="26" spans="1:4" x14ac:dyDescent="0.3">
      <c r="A26" s="61" t="s">
        <v>47</v>
      </c>
      <c r="B26" s="51"/>
      <c r="C26" s="1">
        <v>0</v>
      </c>
      <c r="D26" s="1"/>
    </row>
    <row r="27" spans="1:4" x14ac:dyDescent="0.3">
      <c r="A27" s="52" t="s">
        <v>64</v>
      </c>
      <c r="B27" s="51"/>
      <c r="C27" s="1">
        <v>1300</v>
      </c>
      <c r="D27" s="1"/>
    </row>
    <row r="28" spans="1:4" x14ac:dyDescent="0.3">
      <c r="A28" s="52"/>
      <c r="B28" s="51"/>
      <c r="C28" s="1"/>
      <c r="D28" s="1"/>
    </row>
    <row r="29" spans="1:4" x14ac:dyDescent="0.3">
      <c r="A29" s="56" t="s">
        <v>52</v>
      </c>
      <c r="B29" s="57"/>
      <c r="C29" s="1">
        <v>0</v>
      </c>
      <c r="D29" s="1"/>
    </row>
    <row r="30" spans="1:4" x14ac:dyDescent="0.3">
      <c r="A30" s="52" t="s">
        <v>53</v>
      </c>
      <c r="B30" s="51"/>
      <c r="C30" s="1">
        <v>600</v>
      </c>
      <c r="D30" s="1"/>
    </row>
    <row r="31" spans="1:4" x14ac:dyDescent="0.3">
      <c r="A31" s="59" t="s">
        <v>42</v>
      </c>
      <c r="B31" s="51"/>
      <c r="C31" s="3">
        <f>SUM(C20:C30)</f>
        <v>28400</v>
      </c>
      <c r="D31" s="1"/>
    </row>
    <row r="32" spans="1:4" x14ac:dyDescent="0.3">
      <c r="A32" s="14"/>
      <c r="B32" s="14"/>
      <c r="C32" s="14"/>
      <c r="D32" s="14"/>
    </row>
    <row r="33" spans="1:2" x14ac:dyDescent="0.3">
      <c r="A33" t="s">
        <v>11</v>
      </c>
    </row>
    <row r="34" spans="1:2" x14ac:dyDescent="0.3">
      <c r="A34" t="s">
        <v>12</v>
      </c>
      <c r="B34" t="s">
        <v>13</v>
      </c>
    </row>
    <row r="51" spans="1:4" ht="15.6" x14ac:dyDescent="0.3">
      <c r="B51" s="4" t="s">
        <v>5</v>
      </c>
      <c r="C51" s="4"/>
    </row>
    <row r="52" spans="1:4" ht="15.6" x14ac:dyDescent="0.3">
      <c r="B52" s="4" t="s">
        <v>6</v>
      </c>
      <c r="C52" s="4"/>
    </row>
    <row r="53" spans="1:4" x14ac:dyDescent="0.3">
      <c r="A53" s="5" t="s">
        <v>7</v>
      </c>
      <c r="B53" s="5"/>
      <c r="C53" s="5"/>
      <c r="D53" s="5"/>
    </row>
    <row r="54" spans="1:4" x14ac:dyDescent="0.3">
      <c r="A54" s="5"/>
      <c r="B54" s="5" t="s">
        <v>30</v>
      </c>
      <c r="C54" s="5"/>
      <c r="D54" s="5"/>
    </row>
    <row r="55" spans="1:4" x14ac:dyDescent="0.3">
      <c r="A55" t="s">
        <v>8</v>
      </c>
      <c r="B55" t="s">
        <v>9</v>
      </c>
      <c r="C55" s="6">
        <v>3</v>
      </c>
    </row>
    <row r="58" spans="1:4" ht="28.8" x14ac:dyDescent="0.3">
      <c r="A58" s="1" t="s">
        <v>0</v>
      </c>
      <c r="B58" s="2" t="s">
        <v>1</v>
      </c>
      <c r="C58" s="2" t="s">
        <v>2</v>
      </c>
      <c r="D58" s="2" t="s">
        <v>3</v>
      </c>
    </row>
    <row r="59" spans="1:4" x14ac:dyDescent="0.3">
      <c r="A59" s="3" t="s">
        <v>4</v>
      </c>
      <c r="B59" s="1">
        <v>34970.04</v>
      </c>
      <c r="C59" s="1">
        <v>32125.79</v>
      </c>
      <c r="D59" s="1">
        <v>3700</v>
      </c>
    </row>
    <row r="60" spans="1:4" x14ac:dyDescent="0.3">
      <c r="A60" s="49" t="s">
        <v>10</v>
      </c>
      <c r="B60" s="50"/>
      <c r="C60" s="51"/>
      <c r="D60" s="1">
        <f>B59-D59</f>
        <v>31270.04</v>
      </c>
    </row>
    <row r="62" spans="1:4" ht="28.8" x14ac:dyDescent="0.3">
      <c r="A62" s="60" t="s">
        <v>37</v>
      </c>
      <c r="B62" s="51"/>
      <c r="C62" s="21" t="s">
        <v>41</v>
      </c>
      <c r="D62" s="3"/>
    </row>
    <row r="63" spans="1:4" x14ac:dyDescent="0.3">
      <c r="A63" s="60" t="s">
        <v>38</v>
      </c>
      <c r="B63" s="51"/>
      <c r="C63" s="1">
        <v>0</v>
      </c>
      <c r="D63" s="1"/>
    </row>
    <row r="64" spans="1:4" x14ac:dyDescent="0.3">
      <c r="A64" s="52"/>
      <c r="B64" s="51"/>
      <c r="C64" s="1"/>
      <c r="D64" s="1"/>
    </row>
    <row r="65" spans="1:4" x14ac:dyDescent="0.3">
      <c r="A65" s="52"/>
      <c r="B65" s="51"/>
      <c r="C65" s="1"/>
      <c r="D65" s="1"/>
    </row>
    <row r="66" spans="1:4" x14ac:dyDescent="0.3">
      <c r="A66" s="60" t="s">
        <v>40</v>
      </c>
      <c r="B66" s="51"/>
      <c r="C66" s="1">
        <v>0</v>
      </c>
      <c r="D66" s="1"/>
    </row>
    <row r="67" spans="1:4" x14ac:dyDescent="0.3">
      <c r="A67" s="52" t="s">
        <v>118</v>
      </c>
      <c r="B67" s="51"/>
      <c r="C67" s="1">
        <v>3400</v>
      </c>
      <c r="D67" s="1"/>
    </row>
    <row r="68" spans="1:4" x14ac:dyDescent="0.3">
      <c r="A68" s="52"/>
      <c r="B68" s="51"/>
      <c r="C68" s="1"/>
      <c r="D68" s="1"/>
    </row>
    <row r="69" spans="1:4" x14ac:dyDescent="0.3">
      <c r="A69" s="61" t="s">
        <v>47</v>
      </c>
      <c r="B69" s="51"/>
      <c r="C69" s="1">
        <v>0</v>
      </c>
      <c r="D69" s="1"/>
    </row>
    <row r="70" spans="1:4" x14ac:dyDescent="0.3">
      <c r="A70" s="52" t="s">
        <v>64</v>
      </c>
      <c r="B70" s="51"/>
      <c r="C70" s="1">
        <v>300</v>
      </c>
      <c r="D70" s="1"/>
    </row>
    <row r="71" spans="1:4" x14ac:dyDescent="0.3">
      <c r="A71" s="52"/>
      <c r="B71" s="51"/>
      <c r="C71" s="1"/>
      <c r="D71" s="1"/>
    </row>
    <row r="72" spans="1:4" x14ac:dyDescent="0.3">
      <c r="A72" s="56" t="s">
        <v>52</v>
      </c>
      <c r="B72" s="57"/>
      <c r="C72" s="1">
        <v>0</v>
      </c>
      <c r="D72" s="1"/>
    </row>
    <row r="73" spans="1:4" x14ac:dyDescent="0.3">
      <c r="A73" s="52" t="s">
        <v>53</v>
      </c>
      <c r="B73" s="51"/>
      <c r="C73" s="1"/>
      <c r="D73" s="1"/>
    </row>
    <row r="74" spans="1:4" x14ac:dyDescent="0.3">
      <c r="A74" s="59" t="s">
        <v>42</v>
      </c>
      <c r="B74" s="51"/>
      <c r="C74" s="3">
        <f>SUM(C63:C73)</f>
        <v>3700</v>
      </c>
      <c r="D74" s="1"/>
    </row>
    <row r="75" spans="1:4" x14ac:dyDescent="0.3">
      <c r="A75" s="14"/>
      <c r="B75" s="14"/>
      <c r="C75" s="14"/>
      <c r="D75" s="14"/>
    </row>
    <row r="76" spans="1:4" x14ac:dyDescent="0.3">
      <c r="A76" t="s">
        <v>11</v>
      </c>
    </row>
    <row r="77" spans="1:4" x14ac:dyDescent="0.3">
      <c r="A77" t="s">
        <v>12</v>
      </c>
      <c r="B77" t="s">
        <v>13</v>
      </c>
    </row>
    <row r="78" spans="1:4" ht="15.6" x14ac:dyDescent="0.3">
      <c r="B78" s="4" t="s">
        <v>5</v>
      </c>
      <c r="C78" s="4"/>
    </row>
    <row r="79" spans="1:4" ht="15.6" x14ac:dyDescent="0.3">
      <c r="B79" s="4" t="s">
        <v>6</v>
      </c>
      <c r="C79" s="4"/>
    </row>
    <row r="80" spans="1:4" x14ac:dyDescent="0.3">
      <c r="A80" s="5" t="s">
        <v>7</v>
      </c>
      <c r="B80" s="5"/>
      <c r="C80" s="5"/>
      <c r="D80" s="5"/>
    </row>
    <row r="81" spans="1:4" x14ac:dyDescent="0.3">
      <c r="A81" s="5"/>
      <c r="B81" s="5" t="s">
        <v>30</v>
      </c>
      <c r="C81" s="5"/>
      <c r="D81" s="5"/>
    </row>
    <row r="82" spans="1:4" x14ac:dyDescent="0.3">
      <c r="A82" t="s">
        <v>8</v>
      </c>
      <c r="B82" t="s">
        <v>9</v>
      </c>
      <c r="C82" s="6">
        <v>4</v>
      </c>
    </row>
    <row r="85" spans="1:4" ht="28.8" x14ac:dyDescent="0.3">
      <c r="A85" s="1" t="s">
        <v>0</v>
      </c>
      <c r="B85" s="2" t="s">
        <v>1</v>
      </c>
      <c r="C85" s="2" t="s">
        <v>2</v>
      </c>
      <c r="D85" s="2" t="s">
        <v>3</v>
      </c>
    </row>
    <row r="86" spans="1:4" x14ac:dyDescent="0.3">
      <c r="A86" s="3" t="s">
        <v>4</v>
      </c>
      <c r="B86" s="1">
        <v>34411.5</v>
      </c>
      <c r="C86" s="1">
        <v>33577.35</v>
      </c>
      <c r="D86" s="1">
        <v>20200</v>
      </c>
    </row>
    <row r="87" spans="1:4" x14ac:dyDescent="0.3">
      <c r="A87" s="49" t="s">
        <v>10</v>
      </c>
      <c r="B87" s="50"/>
      <c r="C87" s="51"/>
      <c r="D87" s="1">
        <f>B86-D86</f>
        <v>14211.5</v>
      </c>
    </row>
    <row r="89" spans="1:4" ht="28.8" x14ac:dyDescent="0.3">
      <c r="A89" s="60" t="s">
        <v>37</v>
      </c>
      <c r="B89" s="51"/>
      <c r="C89" s="21" t="s">
        <v>41</v>
      </c>
      <c r="D89" s="3"/>
    </row>
    <row r="90" spans="1:4" x14ac:dyDescent="0.3">
      <c r="A90" s="60" t="s">
        <v>38</v>
      </c>
      <c r="B90" s="51"/>
      <c r="C90" s="1">
        <v>0</v>
      </c>
      <c r="D90" s="1"/>
    </row>
    <row r="91" spans="1:4" x14ac:dyDescent="0.3">
      <c r="A91" s="52" t="s">
        <v>123</v>
      </c>
      <c r="B91" s="51"/>
      <c r="C91" s="1">
        <f>9000+2200+2200</f>
        <v>13400</v>
      </c>
      <c r="D91" s="1"/>
    </row>
    <row r="92" spans="1:4" x14ac:dyDescent="0.3">
      <c r="A92" s="52"/>
      <c r="B92" s="51"/>
      <c r="C92" s="1"/>
      <c r="D92" s="1"/>
    </row>
    <row r="93" spans="1:4" x14ac:dyDescent="0.3">
      <c r="A93" s="60" t="s">
        <v>40</v>
      </c>
      <c r="B93" s="51"/>
      <c r="C93" s="1">
        <v>0</v>
      </c>
      <c r="D93" s="1"/>
    </row>
    <row r="94" spans="1:4" x14ac:dyDescent="0.3">
      <c r="A94" s="52" t="s">
        <v>124</v>
      </c>
      <c r="B94" s="51"/>
      <c r="C94" s="1">
        <v>6600</v>
      </c>
      <c r="D94" s="1"/>
    </row>
    <row r="95" spans="1:4" x14ac:dyDescent="0.3">
      <c r="A95" s="52"/>
      <c r="B95" s="51"/>
      <c r="C95" s="1"/>
      <c r="D95" s="1"/>
    </row>
    <row r="96" spans="1:4" x14ac:dyDescent="0.3">
      <c r="A96" s="61" t="s">
        <v>47</v>
      </c>
      <c r="B96" s="51"/>
      <c r="C96" s="1">
        <v>0</v>
      </c>
      <c r="D96" s="1"/>
    </row>
    <row r="97" spans="1:4" x14ac:dyDescent="0.3">
      <c r="A97" s="52"/>
      <c r="B97" s="51"/>
      <c r="C97" s="1"/>
      <c r="D97" s="1"/>
    </row>
    <row r="98" spans="1:4" x14ac:dyDescent="0.3">
      <c r="A98" s="52"/>
      <c r="B98" s="51"/>
      <c r="C98" s="1"/>
      <c r="D98" s="1"/>
    </row>
    <row r="99" spans="1:4" x14ac:dyDescent="0.3">
      <c r="A99" s="56" t="s">
        <v>52</v>
      </c>
      <c r="B99" s="57"/>
      <c r="C99" s="1">
        <v>0</v>
      </c>
      <c r="D99" s="1"/>
    </row>
    <row r="100" spans="1:4" x14ac:dyDescent="0.3">
      <c r="A100" s="52" t="s">
        <v>53</v>
      </c>
      <c r="B100" s="51"/>
      <c r="C100" s="1">
        <v>200</v>
      </c>
      <c r="D100" s="1"/>
    </row>
    <row r="101" spans="1:4" x14ac:dyDescent="0.3">
      <c r="A101" s="59" t="s">
        <v>42</v>
      </c>
      <c r="B101" s="51"/>
      <c r="C101" s="3">
        <f>SUM(C90:C100)</f>
        <v>20200</v>
      </c>
      <c r="D101" s="1"/>
    </row>
    <row r="102" spans="1:4" x14ac:dyDescent="0.3">
      <c r="A102" s="14"/>
      <c r="B102" s="14"/>
      <c r="C102" s="14"/>
      <c r="D102" s="14"/>
    </row>
    <row r="103" spans="1:4" x14ac:dyDescent="0.3">
      <c r="A103" t="s">
        <v>11</v>
      </c>
    </row>
    <row r="104" spans="1:4" x14ac:dyDescent="0.3">
      <c r="A104" t="s">
        <v>12</v>
      </c>
      <c r="B104" t="s">
        <v>13</v>
      </c>
    </row>
    <row r="106" spans="1:4" ht="15.6" x14ac:dyDescent="0.3">
      <c r="B106" s="4" t="s">
        <v>5</v>
      </c>
      <c r="C106" s="4"/>
    </row>
    <row r="107" spans="1:4" ht="15.6" x14ac:dyDescent="0.3">
      <c r="B107" s="4" t="s">
        <v>6</v>
      </c>
      <c r="C107" s="4"/>
    </row>
    <row r="108" spans="1:4" x14ac:dyDescent="0.3">
      <c r="A108" s="5" t="s">
        <v>7</v>
      </c>
      <c r="B108" s="5"/>
      <c r="C108" s="5"/>
      <c r="D108" s="5"/>
    </row>
    <row r="109" spans="1:4" x14ac:dyDescent="0.3">
      <c r="A109" s="5"/>
      <c r="B109" s="5" t="s">
        <v>30</v>
      </c>
      <c r="C109" s="5"/>
      <c r="D109" s="5"/>
    </row>
    <row r="110" spans="1:4" x14ac:dyDescent="0.3">
      <c r="A110" t="s">
        <v>8</v>
      </c>
      <c r="B110" t="s">
        <v>9</v>
      </c>
      <c r="C110" s="6">
        <v>5</v>
      </c>
    </row>
    <row r="113" spans="1:4" ht="28.8" x14ac:dyDescent="0.3">
      <c r="A113" s="1" t="s">
        <v>0</v>
      </c>
      <c r="B113" s="2" t="s">
        <v>1</v>
      </c>
      <c r="C113" s="2" t="s">
        <v>2</v>
      </c>
      <c r="D113" s="2" t="s">
        <v>3</v>
      </c>
    </row>
    <row r="114" spans="1:4" x14ac:dyDescent="0.3">
      <c r="A114" s="3" t="s">
        <v>4</v>
      </c>
      <c r="B114" s="1">
        <v>34212.660000000003</v>
      </c>
      <c r="C114" s="1">
        <v>29054.83</v>
      </c>
      <c r="D114" s="1">
        <v>4300</v>
      </c>
    </row>
    <row r="115" spans="1:4" x14ac:dyDescent="0.3">
      <c r="A115" s="49" t="s">
        <v>10</v>
      </c>
      <c r="B115" s="50"/>
      <c r="C115" s="51"/>
      <c r="D115" s="1">
        <f>B114-D114</f>
        <v>29912.660000000003</v>
      </c>
    </row>
    <row r="117" spans="1:4" ht="28.8" x14ac:dyDescent="0.3">
      <c r="A117" s="60" t="s">
        <v>37</v>
      </c>
      <c r="B117" s="51"/>
      <c r="C117" s="21" t="s">
        <v>41</v>
      </c>
      <c r="D117" s="3"/>
    </row>
    <row r="118" spans="1:4" x14ac:dyDescent="0.3">
      <c r="A118" s="60" t="s">
        <v>38</v>
      </c>
      <c r="B118" s="51"/>
      <c r="C118" s="1">
        <v>0</v>
      </c>
      <c r="D118" s="1"/>
    </row>
    <row r="119" spans="1:4" x14ac:dyDescent="0.3">
      <c r="A119" s="52"/>
      <c r="B119" s="51"/>
      <c r="C119" s="1"/>
      <c r="D119" s="1"/>
    </row>
    <row r="120" spans="1:4" x14ac:dyDescent="0.3">
      <c r="A120" s="52"/>
      <c r="B120" s="51"/>
      <c r="C120" s="1"/>
      <c r="D120" s="1"/>
    </row>
    <row r="121" spans="1:4" x14ac:dyDescent="0.3">
      <c r="A121" s="60" t="s">
        <v>40</v>
      </c>
      <c r="B121" s="51"/>
      <c r="C121" s="1">
        <v>0</v>
      </c>
      <c r="D121" s="1"/>
    </row>
    <row r="122" spans="1:4" x14ac:dyDescent="0.3">
      <c r="A122" s="52" t="s">
        <v>56</v>
      </c>
      <c r="B122" s="51"/>
      <c r="C122" s="1">
        <v>600</v>
      </c>
      <c r="D122" s="1"/>
    </row>
    <row r="123" spans="1:4" x14ac:dyDescent="0.3">
      <c r="A123" s="52" t="s">
        <v>125</v>
      </c>
      <c r="B123" s="51"/>
      <c r="C123" s="1">
        <v>3700</v>
      </c>
      <c r="D123" s="1"/>
    </row>
    <row r="124" spans="1:4" x14ac:dyDescent="0.3">
      <c r="A124" s="61" t="s">
        <v>47</v>
      </c>
      <c r="B124" s="51"/>
      <c r="C124" s="1">
        <v>0</v>
      </c>
      <c r="D124" s="1"/>
    </row>
    <row r="125" spans="1:4" x14ac:dyDescent="0.3">
      <c r="A125" s="52"/>
      <c r="B125" s="51"/>
      <c r="C125" s="1"/>
      <c r="D125" s="1"/>
    </row>
    <row r="126" spans="1:4" x14ac:dyDescent="0.3">
      <c r="A126" s="52"/>
      <c r="B126" s="51"/>
      <c r="C126" s="1"/>
      <c r="D126" s="1"/>
    </row>
    <row r="127" spans="1:4" x14ac:dyDescent="0.3">
      <c r="A127" s="56" t="s">
        <v>52</v>
      </c>
      <c r="B127" s="57"/>
      <c r="C127" s="1">
        <v>0</v>
      </c>
      <c r="D127" s="1"/>
    </row>
    <row r="128" spans="1:4" x14ac:dyDescent="0.3">
      <c r="A128" s="52" t="s">
        <v>53</v>
      </c>
      <c r="B128" s="51"/>
      <c r="C128" s="1"/>
      <c r="D128" s="1"/>
    </row>
    <row r="129" spans="1:4" x14ac:dyDescent="0.3">
      <c r="A129" s="59" t="s">
        <v>42</v>
      </c>
      <c r="B129" s="51"/>
      <c r="C129" s="3">
        <f>SUM(C118:C128)</f>
        <v>4300</v>
      </c>
      <c r="D129" s="1"/>
    </row>
    <row r="130" spans="1:4" x14ac:dyDescent="0.3">
      <c r="A130" s="14"/>
      <c r="B130" s="14"/>
      <c r="C130" s="14"/>
      <c r="D130" s="14"/>
    </row>
    <row r="131" spans="1:4" x14ac:dyDescent="0.3">
      <c r="A131" t="s">
        <v>11</v>
      </c>
    </row>
    <row r="132" spans="1:4" x14ac:dyDescent="0.3">
      <c r="A132" t="s">
        <v>12</v>
      </c>
      <c r="B132" t="s">
        <v>13</v>
      </c>
    </row>
    <row r="135" spans="1:4" ht="15.6" x14ac:dyDescent="0.3">
      <c r="B135" s="4" t="s">
        <v>5</v>
      </c>
      <c r="C135" s="4"/>
    </row>
    <row r="136" spans="1:4" ht="15.6" x14ac:dyDescent="0.3">
      <c r="B136" s="4" t="s">
        <v>6</v>
      </c>
      <c r="C136" s="4"/>
    </row>
    <row r="137" spans="1:4" x14ac:dyDescent="0.3">
      <c r="A137" s="5" t="s">
        <v>7</v>
      </c>
      <c r="B137" s="5"/>
      <c r="C137" s="5"/>
      <c r="D137" s="5"/>
    </row>
    <row r="138" spans="1:4" x14ac:dyDescent="0.3">
      <c r="A138" s="5"/>
      <c r="B138" s="5" t="s">
        <v>30</v>
      </c>
      <c r="C138" s="5"/>
      <c r="D138" s="5"/>
    </row>
    <row r="139" spans="1:4" x14ac:dyDescent="0.3">
      <c r="A139" t="s">
        <v>8</v>
      </c>
      <c r="B139" t="s">
        <v>9</v>
      </c>
      <c r="C139" s="6">
        <v>7</v>
      </c>
    </row>
    <row r="142" spans="1:4" ht="28.8" x14ac:dyDescent="0.3">
      <c r="A142" s="1" t="s">
        <v>0</v>
      </c>
      <c r="B142" s="2" t="s">
        <v>1</v>
      </c>
      <c r="C142" s="2" t="s">
        <v>2</v>
      </c>
      <c r="D142" s="2" t="s">
        <v>3</v>
      </c>
    </row>
    <row r="143" spans="1:4" x14ac:dyDescent="0.3">
      <c r="A143" s="3" t="s">
        <v>4</v>
      </c>
      <c r="B143" s="1">
        <v>33906.720000000001</v>
      </c>
      <c r="C143" s="1">
        <v>32579.48</v>
      </c>
      <c r="D143" s="1">
        <v>29300</v>
      </c>
    </row>
    <row r="144" spans="1:4" x14ac:dyDescent="0.3">
      <c r="A144" s="49" t="s">
        <v>10</v>
      </c>
      <c r="B144" s="50"/>
      <c r="C144" s="51"/>
      <c r="D144" s="1">
        <f>B143-D143</f>
        <v>4606.7200000000012</v>
      </c>
    </row>
    <row r="146" spans="1:4" ht="28.8" x14ac:dyDescent="0.3">
      <c r="A146" s="60" t="s">
        <v>37</v>
      </c>
      <c r="B146" s="51"/>
      <c r="C146" s="21" t="s">
        <v>41</v>
      </c>
      <c r="D146" s="3"/>
    </row>
    <row r="147" spans="1:4" x14ac:dyDescent="0.3">
      <c r="A147" s="60" t="s">
        <v>38</v>
      </c>
      <c r="B147" s="51"/>
      <c r="C147" s="1">
        <v>0</v>
      </c>
      <c r="D147" s="1"/>
    </row>
    <row r="148" spans="1:4" x14ac:dyDescent="0.3">
      <c r="A148" s="52" t="s">
        <v>39</v>
      </c>
      <c r="B148" s="51"/>
      <c r="C148" s="1">
        <v>1700</v>
      </c>
      <c r="D148" s="1"/>
    </row>
    <row r="149" spans="1:4" x14ac:dyDescent="0.3">
      <c r="A149" s="52"/>
      <c r="B149" s="51"/>
      <c r="C149" s="1"/>
      <c r="D149" s="1"/>
    </row>
    <row r="150" spans="1:4" x14ac:dyDescent="0.3">
      <c r="A150" s="60" t="s">
        <v>40</v>
      </c>
      <c r="B150" s="51"/>
      <c r="C150" s="1">
        <v>0</v>
      </c>
      <c r="D150" s="1"/>
    </row>
    <row r="151" spans="1:4" x14ac:dyDescent="0.3">
      <c r="A151" s="52" t="s">
        <v>126</v>
      </c>
      <c r="B151" s="51"/>
      <c r="C151" s="1">
        <v>7000</v>
      </c>
      <c r="D151" s="1"/>
    </row>
    <row r="152" spans="1:4" x14ac:dyDescent="0.3">
      <c r="A152" s="52" t="s">
        <v>81</v>
      </c>
      <c r="B152" s="51"/>
      <c r="C152" s="1">
        <v>18800</v>
      </c>
      <c r="D152" s="1"/>
    </row>
    <row r="153" spans="1:4" x14ac:dyDescent="0.3">
      <c r="A153" s="61" t="s">
        <v>47</v>
      </c>
      <c r="B153" s="51"/>
      <c r="C153" s="1">
        <v>0</v>
      </c>
      <c r="D153" s="1"/>
    </row>
    <row r="154" spans="1:4" x14ac:dyDescent="0.3">
      <c r="A154" s="52" t="s">
        <v>49</v>
      </c>
      <c r="B154" s="51"/>
      <c r="C154" s="1">
        <v>500</v>
      </c>
      <c r="D154" s="1"/>
    </row>
    <row r="155" spans="1:4" x14ac:dyDescent="0.3">
      <c r="A155" s="52" t="s">
        <v>127</v>
      </c>
      <c r="B155" s="51"/>
      <c r="C155" s="1">
        <v>1300</v>
      </c>
      <c r="D155" s="1"/>
    </row>
    <row r="156" spans="1:4" x14ac:dyDescent="0.3">
      <c r="A156" s="56" t="s">
        <v>52</v>
      </c>
      <c r="B156" s="57"/>
      <c r="C156" s="1">
        <v>0</v>
      </c>
      <c r="D156" s="1"/>
    </row>
    <row r="157" spans="1:4" x14ac:dyDescent="0.3">
      <c r="A157" s="52" t="s">
        <v>53</v>
      </c>
      <c r="B157" s="51"/>
      <c r="C157" s="1"/>
      <c r="D157" s="1"/>
    </row>
    <row r="158" spans="1:4" x14ac:dyDescent="0.3">
      <c r="A158" s="59" t="s">
        <v>42</v>
      </c>
      <c r="B158" s="51"/>
      <c r="C158" s="3">
        <f>SUM(C147:C157)</f>
        <v>29300</v>
      </c>
      <c r="D158" s="1"/>
    </row>
    <row r="159" spans="1:4" x14ac:dyDescent="0.3">
      <c r="A159" s="14"/>
      <c r="B159" s="14"/>
      <c r="C159" s="14"/>
      <c r="D159" s="14"/>
    </row>
    <row r="160" spans="1:4" x14ac:dyDescent="0.3">
      <c r="A160" t="s">
        <v>11</v>
      </c>
    </row>
    <row r="161" spans="1:4" x14ac:dyDescent="0.3">
      <c r="A161" t="s">
        <v>12</v>
      </c>
      <c r="B161" t="s">
        <v>13</v>
      </c>
    </row>
    <row r="164" spans="1:4" ht="15.6" x14ac:dyDescent="0.3">
      <c r="B164" s="4" t="s">
        <v>5</v>
      </c>
      <c r="C164" s="4"/>
    </row>
    <row r="165" spans="1:4" ht="15.6" x14ac:dyDescent="0.3">
      <c r="B165" s="4" t="s">
        <v>6</v>
      </c>
      <c r="C165" s="4"/>
    </row>
    <row r="166" spans="1:4" x14ac:dyDescent="0.3">
      <c r="A166" s="5" t="s">
        <v>7</v>
      </c>
      <c r="B166" s="5"/>
      <c r="C166" s="5"/>
      <c r="D166" s="5"/>
    </row>
    <row r="167" spans="1:4" x14ac:dyDescent="0.3">
      <c r="A167" s="5"/>
      <c r="B167" s="5" t="s">
        <v>30</v>
      </c>
      <c r="C167" s="5"/>
      <c r="D167" s="5"/>
    </row>
    <row r="168" spans="1:4" x14ac:dyDescent="0.3">
      <c r="A168" t="s">
        <v>8</v>
      </c>
      <c r="B168" t="s">
        <v>9</v>
      </c>
      <c r="C168" s="6">
        <v>9</v>
      </c>
    </row>
    <row r="171" spans="1:4" ht="28.8" x14ac:dyDescent="0.3">
      <c r="A171" s="1" t="s">
        <v>0</v>
      </c>
      <c r="B171" s="2" t="s">
        <v>1</v>
      </c>
      <c r="C171" s="2" t="s">
        <v>2</v>
      </c>
      <c r="D171" s="2" t="s">
        <v>3</v>
      </c>
    </row>
    <row r="172" spans="1:4" x14ac:dyDescent="0.3">
      <c r="A172" s="3" t="s">
        <v>4</v>
      </c>
      <c r="B172" s="1">
        <v>34203.4</v>
      </c>
      <c r="C172" s="1">
        <v>29062.21</v>
      </c>
      <c r="D172" s="1">
        <v>7500</v>
      </c>
    </row>
    <row r="173" spans="1:4" x14ac:dyDescent="0.3">
      <c r="A173" s="49" t="s">
        <v>10</v>
      </c>
      <c r="B173" s="50"/>
      <c r="C173" s="51"/>
      <c r="D173" s="1">
        <f>B172-D172</f>
        <v>26703.4</v>
      </c>
    </row>
    <row r="175" spans="1:4" ht="28.8" x14ac:dyDescent="0.3">
      <c r="A175" s="60" t="s">
        <v>37</v>
      </c>
      <c r="B175" s="51"/>
      <c r="C175" s="21" t="s">
        <v>41</v>
      </c>
      <c r="D175" s="3"/>
    </row>
    <row r="176" spans="1:4" x14ac:dyDescent="0.3">
      <c r="A176" s="60" t="s">
        <v>38</v>
      </c>
      <c r="B176" s="51"/>
      <c r="C176" s="1">
        <v>0</v>
      </c>
      <c r="D176" s="1"/>
    </row>
    <row r="177" spans="1:4" x14ac:dyDescent="0.3">
      <c r="A177" s="52" t="s">
        <v>128</v>
      </c>
      <c r="B177" s="51"/>
      <c r="C177" s="1">
        <v>500</v>
      </c>
      <c r="D177" s="1"/>
    </row>
    <row r="178" spans="1:4" x14ac:dyDescent="0.3">
      <c r="A178" s="52"/>
      <c r="B178" s="51"/>
      <c r="C178" s="1"/>
      <c r="D178" s="1"/>
    </row>
    <row r="179" spans="1:4" x14ac:dyDescent="0.3">
      <c r="A179" s="60" t="s">
        <v>40</v>
      </c>
      <c r="B179" s="51"/>
      <c r="C179" s="1">
        <v>0</v>
      </c>
      <c r="D179" s="1"/>
    </row>
    <row r="180" spans="1:4" x14ac:dyDescent="0.3">
      <c r="A180" s="52" t="s">
        <v>126</v>
      </c>
      <c r="B180" s="51"/>
      <c r="C180" s="1">
        <v>1800</v>
      </c>
      <c r="D180" s="1"/>
    </row>
    <row r="181" spans="1:4" x14ac:dyDescent="0.3">
      <c r="A181" s="52" t="s">
        <v>102</v>
      </c>
      <c r="B181" s="51"/>
      <c r="C181" s="1">
        <f>600+2100+300</f>
        <v>3000</v>
      </c>
      <c r="D181" s="1"/>
    </row>
    <row r="182" spans="1:4" x14ac:dyDescent="0.3">
      <c r="A182" s="61" t="s">
        <v>47</v>
      </c>
      <c r="B182" s="51"/>
      <c r="C182" s="1">
        <v>0</v>
      </c>
      <c r="D182" s="1"/>
    </row>
    <row r="183" spans="1:4" x14ac:dyDescent="0.3">
      <c r="A183" s="52" t="s">
        <v>61</v>
      </c>
      <c r="B183" s="51"/>
      <c r="C183" s="1">
        <f>1600</f>
        <v>1600</v>
      </c>
      <c r="D183" s="1"/>
    </row>
    <row r="184" spans="1:4" x14ac:dyDescent="0.3">
      <c r="A184" s="52" t="s">
        <v>72</v>
      </c>
      <c r="B184" s="51"/>
      <c r="C184" s="1">
        <v>400</v>
      </c>
      <c r="D184" s="1"/>
    </row>
    <row r="185" spans="1:4" x14ac:dyDescent="0.3">
      <c r="A185" s="56" t="s">
        <v>52</v>
      </c>
      <c r="B185" s="57"/>
      <c r="C185" s="1">
        <v>0</v>
      </c>
      <c r="D185" s="1"/>
    </row>
    <row r="186" spans="1:4" x14ac:dyDescent="0.3">
      <c r="A186" s="52" t="s">
        <v>53</v>
      </c>
      <c r="B186" s="51"/>
      <c r="C186" s="1">
        <v>200</v>
      </c>
      <c r="D186" s="1"/>
    </row>
    <row r="187" spans="1:4" x14ac:dyDescent="0.3">
      <c r="A187" s="59" t="s">
        <v>42</v>
      </c>
      <c r="B187" s="51"/>
      <c r="C187" s="3">
        <f>SUM(C176:C186)</f>
        <v>7500</v>
      </c>
      <c r="D187" s="1"/>
    </row>
    <row r="188" spans="1:4" x14ac:dyDescent="0.3">
      <c r="A188" s="14"/>
      <c r="B188" s="14"/>
      <c r="C188" s="14"/>
      <c r="D188" s="14"/>
    </row>
    <row r="189" spans="1:4" x14ac:dyDescent="0.3">
      <c r="A189" t="s">
        <v>11</v>
      </c>
    </row>
    <row r="190" spans="1:4" x14ac:dyDescent="0.3">
      <c r="A190" t="s">
        <v>12</v>
      </c>
      <c r="B190" t="s">
        <v>13</v>
      </c>
    </row>
    <row r="194" spans="1:4" ht="15.6" x14ac:dyDescent="0.3">
      <c r="B194" s="4" t="s">
        <v>5</v>
      </c>
      <c r="C194" s="4"/>
    </row>
    <row r="195" spans="1:4" ht="15.6" x14ac:dyDescent="0.3">
      <c r="B195" s="4" t="s">
        <v>6</v>
      </c>
      <c r="C195" s="4"/>
    </row>
    <row r="196" spans="1:4" x14ac:dyDescent="0.3">
      <c r="A196" s="5" t="s">
        <v>7</v>
      </c>
      <c r="B196" s="5"/>
      <c r="C196" s="5"/>
      <c r="D196" s="5"/>
    </row>
    <row r="197" spans="1:4" x14ac:dyDescent="0.3">
      <c r="A197" s="5"/>
      <c r="B197" s="5" t="s">
        <v>30</v>
      </c>
      <c r="C197" s="5"/>
      <c r="D197" s="5"/>
    </row>
    <row r="198" spans="1:4" x14ac:dyDescent="0.3">
      <c r="A198" t="s">
        <v>8</v>
      </c>
      <c r="B198" t="s">
        <v>9</v>
      </c>
      <c r="C198" s="6">
        <v>10</v>
      </c>
    </row>
    <row r="201" spans="1:4" ht="28.8" x14ac:dyDescent="0.3">
      <c r="A201" s="1" t="s">
        <v>0</v>
      </c>
      <c r="B201" s="2" t="s">
        <v>1</v>
      </c>
      <c r="C201" s="2" t="s">
        <v>2</v>
      </c>
      <c r="D201" s="2" t="s">
        <v>3</v>
      </c>
    </row>
    <row r="202" spans="1:4" x14ac:dyDescent="0.3">
      <c r="A202" s="3" t="s">
        <v>4</v>
      </c>
      <c r="B202" s="1">
        <v>34496.58</v>
      </c>
      <c r="C202" s="1">
        <v>34173.339999999997</v>
      </c>
      <c r="D202" s="1">
        <v>13700</v>
      </c>
    </row>
    <row r="203" spans="1:4" x14ac:dyDescent="0.3">
      <c r="A203" s="49" t="s">
        <v>10</v>
      </c>
      <c r="B203" s="50"/>
      <c r="C203" s="51"/>
      <c r="D203" s="1">
        <f>B202-D202</f>
        <v>20796.580000000002</v>
      </c>
    </row>
    <row r="205" spans="1:4" ht="28.8" x14ac:dyDescent="0.3">
      <c r="A205" s="60" t="s">
        <v>37</v>
      </c>
      <c r="B205" s="51"/>
      <c r="C205" s="21" t="s">
        <v>41</v>
      </c>
      <c r="D205" s="3"/>
    </row>
    <row r="206" spans="1:4" x14ac:dyDescent="0.3">
      <c r="A206" s="60" t="s">
        <v>38</v>
      </c>
      <c r="B206" s="51"/>
      <c r="C206" s="1">
        <v>0</v>
      </c>
      <c r="D206" s="1"/>
    </row>
    <row r="207" spans="1:4" x14ac:dyDescent="0.3">
      <c r="A207" s="52" t="s">
        <v>39</v>
      </c>
      <c r="B207" s="51"/>
      <c r="C207" s="1">
        <v>300</v>
      </c>
      <c r="D207" s="1"/>
    </row>
    <row r="208" spans="1:4" x14ac:dyDescent="0.3">
      <c r="A208" s="52"/>
      <c r="B208" s="51"/>
      <c r="C208" s="1"/>
      <c r="D208" s="1"/>
    </row>
    <row r="209" spans="1:4" x14ac:dyDescent="0.3">
      <c r="A209" s="60" t="s">
        <v>40</v>
      </c>
      <c r="B209" s="51"/>
      <c r="C209" s="1">
        <v>0</v>
      </c>
      <c r="D209" s="1"/>
    </row>
    <row r="210" spans="1:4" x14ac:dyDescent="0.3">
      <c r="A210" s="52" t="s">
        <v>70</v>
      </c>
      <c r="B210" s="51"/>
      <c r="C210" s="1">
        <f>7200+4700</f>
        <v>11900</v>
      </c>
      <c r="D210" s="1"/>
    </row>
    <row r="211" spans="1:4" x14ac:dyDescent="0.3">
      <c r="A211" s="52"/>
      <c r="B211" s="51"/>
      <c r="C211" s="1"/>
      <c r="D211" s="1"/>
    </row>
    <row r="212" spans="1:4" x14ac:dyDescent="0.3">
      <c r="A212" s="61" t="s">
        <v>47</v>
      </c>
      <c r="B212" s="51"/>
      <c r="C212" s="1">
        <v>0</v>
      </c>
      <c r="D212" s="1"/>
    </row>
    <row r="213" spans="1:4" x14ac:dyDescent="0.3">
      <c r="A213" s="52" t="s">
        <v>49</v>
      </c>
      <c r="B213" s="51"/>
      <c r="C213" s="1">
        <v>1500</v>
      </c>
      <c r="D213" s="1"/>
    </row>
    <row r="214" spans="1:4" x14ac:dyDescent="0.3">
      <c r="A214" s="52"/>
      <c r="B214" s="51"/>
      <c r="C214" s="1"/>
      <c r="D214" s="1"/>
    </row>
    <row r="215" spans="1:4" x14ac:dyDescent="0.3">
      <c r="A215" s="56" t="s">
        <v>52</v>
      </c>
      <c r="B215" s="57"/>
      <c r="C215" s="1">
        <v>0</v>
      </c>
      <c r="D215" s="1"/>
    </row>
    <row r="216" spans="1:4" x14ac:dyDescent="0.3">
      <c r="A216" s="52" t="s">
        <v>53</v>
      </c>
      <c r="B216" s="51"/>
      <c r="C216" s="1"/>
      <c r="D216" s="1"/>
    </row>
    <row r="217" spans="1:4" x14ac:dyDescent="0.3">
      <c r="A217" s="59" t="s">
        <v>42</v>
      </c>
      <c r="B217" s="51"/>
      <c r="C217" s="3">
        <f>SUM(C206:C216)</f>
        <v>13700</v>
      </c>
      <c r="D217" s="1"/>
    </row>
    <row r="218" spans="1:4" x14ac:dyDescent="0.3">
      <c r="A218" s="14"/>
      <c r="B218" s="14"/>
      <c r="C218" s="14"/>
      <c r="D218" s="14"/>
    </row>
    <row r="219" spans="1:4" x14ac:dyDescent="0.3">
      <c r="A219" t="s">
        <v>11</v>
      </c>
    </row>
    <row r="220" spans="1:4" x14ac:dyDescent="0.3">
      <c r="A220" t="s">
        <v>12</v>
      </c>
      <c r="B220" t="s">
        <v>13</v>
      </c>
    </row>
    <row r="225" spans="1:4" ht="15.6" x14ac:dyDescent="0.3">
      <c r="B225" s="4" t="s">
        <v>5</v>
      </c>
      <c r="C225" s="4"/>
    </row>
    <row r="226" spans="1:4" ht="15.6" x14ac:dyDescent="0.3">
      <c r="B226" s="4" t="s">
        <v>6</v>
      </c>
      <c r="C226" s="4"/>
    </row>
    <row r="227" spans="1:4" x14ac:dyDescent="0.3">
      <c r="A227" s="5" t="s">
        <v>7</v>
      </c>
      <c r="B227" s="5"/>
      <c r="C227" s="5"/>
      <c r="D227" s="5"/>
    </row>
    <row r="228" spans="1:4" x14ac:dyDescent="0.3">
      <c r="A228" s="5"/>
      <c r="B228" s="5" t="s">
        <v>30</v>
      </c>
      <c r="C228" s="5"/>
      <c r="D228" s="5"/>
    </row>
    <row r="229" spans="1:4" x14ac:dyDescent="0.3">
      <c r="A229" t="s">
        <v>8</v>
      </c>
      <c r="B229" t="s">
        <v>9</v>
      </c>
      <c r="C229" s="6">
        <v>11</v>
      </c>
    </row>
    <row r="232" spans="1:4" ht="28.8" x14ac:dyDescent="0.3">
      <c r="A232" s="1" t="s">
        <v>0</v>
      </c>
      <c r="B232" s="2" t="s">
        <v>1</v>
      </c>
      <c r="C232" s="2" t="s">
        <v>2</v>
      </c>
      <c r="D232" s="2" t="s">
        <v>3</v>
      </c>
    </row>
    <row r="233" spans="1:4" x14ac:dyDescent="0.3">
      <c r="A233" s="3" t="s">
        <v>4</v>
      </c>
      <c r="B233" s="1">
        <v>33603.72</v>
      </c>
      <c r="C233" s="1">
        <v>33875.46</v>
      </c>
      <c r="D233" s="1">
        <v>75400</v>
      </c>
    </row>
    <row r="234" spans="1:4" x14ac:dyDescent="0.3">
      <c r="A234" s="49" t="s">
        <v>32</v>
      </c>
      <c r="B234" s="50"/>
      <c r="C234" s="51"/>
      <c r="D234" s="1">
        <f>B233-D233</f>
        <v>-41796.28</v>
      </c>
    </row>
    <row r="236" spans="1:4" ht="28.8" x14ac:dyDescent="0.3">
      <c r="A236" s="60" t="s">
        <v>37</v>
      </c>
      <c r="B236" s="51"/>
      <c r="C236" s="21" t="s">
        <v>41</v>
      </c>
      <c r="D236" s="3"/>
    </row>
    <row r="237" spans="1:4" x14ac:dyDescent="0.3">
      <c r="A237" s="60" t="s">
        <v>38</v>
      </c>
      <c r="B237" s="51"/>
      <c r="C237" s="1">
        <v>0</v>
      </c>
      <c r="D237" s="1"/>
    </row>
    <row r="238" spans="1:4" x14ac:dyDescent="0.3">
      <c r="A238" s="52"/>
      <c r="B238" s="51"/>
      <c r="C238" s="1"/>
      <c r="D238" s="1"/>
    </row>
    <row r="239" spans="1:4" x14ac:dyDescent="0.3">
      <c r="A239" s="52"/>
      <c r="B239" s="51"/>
      <c r="C239" s="1"/>
      <c r="D239" s="1"/>
    </row>
    <row r="240" spans="1:4" x14ac:dyDescent="0.3">
      <c r="A240" s="60" t="s">
        <v>40</v>
      </c>
      <c r="B240" s="51"/>
      <c r="C240" s="1">
        <v>0</v>
      </c>
      <c r="D240" s="1"/>
    </row>
    <row r="241" spans="1:4" x14ac:dyDescent="0.3">
      <c r="A241" s="52" t="s">
        <v>79</v>
      </c>
      <c r="B241" s="51"/>
      <c r="C241" s="1">
        <f>15100+200</f>
        <v>15300</v>
      </c>
      <c r="D241" s="1"/>
    </row>
    <row r="242" spans="1:4" x14ac:dyDescent="0.3">
      <c r="A242" s="52" t="s">
        <v>63</v>
      </c>
      <c r="B242" s="51"/>
      <c r="C242" s="1">
        <v>12600</v>
      </c>
      <c r="D242" s="1"/>
    </row>
    <row r="243" spans="1:4" x14ac:dyDescent="0.3">
      <c r="A243" s="52" t="s">
        <v>129</v>
      </c>
      <c r="B243" s="51"/>
      <c r="C243" s="1">
        <v>5600</v>
      </c>
      <c r="D243" s="1"/>
    </row>
    <row r="244" spans="1:4" x14ac:dyDescent="0.3">
      <c r="A244" s="52" t="s">
        <v>78</v>
      </c>
      <c r="B244" s="51"/>
      <c r="C244" s="1">
        <v>37000</v>
      </c>
      <c r="D244" s="1"/>
    </row>
    <row r="245" spans="1:4" x14ac:dyDescent="0.3">
      <c r="A245" s="61" t="s">
        <v>47</v>
      </c>
      <c r="B245" s="51"/>
      <c r="C245" s="1">
        <v>0</v>
      </c>
      <c r="D245" s="1"/>
    </row>
    <row r="246" spans="1:4" x14ac:dyDescent="0.3">
      <c r="A246" s="52" t="s">
        <v>49</v>
      </c>
      <c r="B246" s="51"/>
      <c r="C246" s="1">
        <v>400</v>
      </c>
      <c r="D246" s="1"/>
    </row>
    <row r="247" spans="1:4" x14ac:dyDescent="0.3">
      <c r="A247" s="52" t="s">
        <v>64</v>
      </c>
      <c r="B247" s="51"/>
      <c r="C247" s="1">
        <v>1400</v>
      </c>
      <c r="D247" s="1"/>
    </row>
    <row r="248" spans="1:4" x14ac:dyDescent="0.3">
      <c r="A248" s="56" t="s">
        <v>52</v>
      </c>
      <c r="B248" s="57"/>
      <c r="C248" s="1">
        <v>0</v>
      </c>
      <c r="D248" s="1"/>
    </row>
    <row r="249" spans="1:4" ht="14.4" customHeight="1" x14ac:dyDescent="0.3">
      <c r="A249" s="52" t="s">
        <v>53</v>
      </c>
      <c r="B249" s="51"/>
      <c r="C249" s="1">
        <f>600+1500+1000</f>
        <v>3100</v>
      </c>
      <c r="D249" s="1"/>
    </row>
    <row r="250" spans="1:4" x14ac:dyDescent="0.3">
      <c r="A250" s="59" t="s">
        <v>42</v>
      </c>
      <c r="B250" s="51"/>
      <c r="C250" s="3">
        <f>SUM(C237:C249)</f>
        <v>75400</v>
      </c>
      <c r="D250" s="1"/>
    </row>
    <row r="251" spans="1:4" x14ac:dyDescent="0.3">
      <c r="A251" s="14"/>
      <c r="B251" s="14"/>
      <c r="C251" s="14"/>
      <c r="D251" s="14"/>
    </row>
    <row r="252" spans="1:4" x14ac:dyDescent="0.3">
      <c r="A252" t="s">
        <v>11</v>
      </c>
    </row>
    <row r="253" spans="1:4" x14ac:dyDescent="0.3">
      <c r="A253" t="s">
        <v>12</v>
      </c>
      <c r="B253" t="s">
        <v>13</v>
      </c>
    </row>
    <row r="257" spans="1:4" ht="15.6" x14ac:dyDescent="0.3">
      <c r="B257" s="4" t="s">
        <v>5</v>
      </c>
      <c r="C257" s="4"/>
    </row>
    <row r="258" spans="1:4" ht="15.6" x14ac:dyDescent="0.3">
      <c r="B258" s="4" t="s">
        <v>6</v>
      </c>
      <c r="C258" s="4"/>
    </row>
    <row r="259" spans="1:4" x14ac:dyDescent="0.3">
      <c r="A259" s="5" t="s">
        <v>7</v>
      </c>
      <c r="B259" s="5"/>
      <c r="C259" s="5"/>
      <c r="D259" s="5"/>
    </row>
    <row r="260" spans="1:4" x14ac:dyDescent="0.3">
      <c r="A260" s="5"/>
      <c r="B260" s="5" t="s">
        <v>30</v>
      </c>
      <c r="C260" s="5"/>
      <c r="D260" s="5"/>
    </row>
    <row r="261" spans="1:4" x14ac:dyDescent="0.3">
      <c r="A261" t="s">
        <v>8</v>
      </c>
      <c r="B261" t="s">
        <v>9</v>
      </c>
      <c r="C261" s="6">
        <v>12</v>
      </c>
    </row>
    <row r="264" spans="1:4" ht="28.8" x14ac:dyDescent="0.3">
      <c r="A264" s="1" t="s">
        <v>0</v>
      </c>
      <c r="B264" s="2" t="s">
        <v>1</v>
      </c>
      <c r="C264" s="2" t="s">
        <v>2</v>
      </c>
      <c r="D264" s="2" t="s">
        <v>3</v>
      </c>
    </row>
    <row r="265" spans="1:4" x14ac:dyDescent="0.3">
      <c r="A265" s="3" t="s">
        <v>4</v>
      </c>
      <c r="B265" s="1">
        <v>44739.5</v>
      </c>
      <c r="C265" s="1">
        <v>38755.78</v>
      </c>
      <c r="D265" s="1">
        <v>141200</v>
      </c>
    </row>
    <row r="266" spans="1:4" x14ac:dyDescent="0.3">
      <c r="A266" s="49" t="s">
        <v>36</v>
      </c>
      <c r="B266" s="50"/>
      <c r="C266" s="51"/>
      <c r="D266" s="1">
        <f>B265-D265</f>
        <v>-96460.5</v>
      </c>
    </row>
    <row r="268" spans="1:4" ht="28.8" x14ac:dyDescent="0.3">
      <c r="A268" s="60" t="s">
        <v>37</v>
      </c>
      <c r="B268" s="51"/>
      <c r="C268" s="21" t="s">
        <v>41</v>
      </c>
      <c r="D268" s="3"/>
    </row>
    <row r="269" spans="1:4" x14ac:dyDescent="0.3">
      <c r="A269" s="60" t="s">
        <v>38</v>
      </c>
      <c r="B269" s="51"/>
      <c r="C269" s="1">
        <v>0</v>
      </c>
      <c r="D269" s="1"/>
    </row>
    <row r="270" spans="1:4" x14ac:dyDescent="0.3">
      <c r="A270" s="52" t="s">
        <v>76</v>
      </c>
      <c r="B270" s="51"/>
      <c r="C270" s="1">
        <v>600</v>
      </c>
      <c r="D270" s="1"/>
    </row>
    <row r="271" spans="1:4" x14ac:dyDescent="0.3">
      <c r="A271" s="52" t="s">
        <v>39</v>
      </c>
      <c r="B271" s="51"/>
      <c r="C271" s="1">
        <f>1700+5100+6700+300+1700+5100</f>
        <v>20600</v>
      </c>
      <c r="D271" s="1"/>
    </row>
    <row r="272" spans="1:4" x14ac:dyDescent="0.3">
      <c r="A272" s="60" t="s">
        <v>40</v>
      </c>
      <c r="B272" s="51"/>
      <c r="C272" s="1">
        <v>0</v>
      </c>
      <c r="D272" s="1"/>
    </row>
    <row r="273" spans="1:4" x14ac:dyDescent="0.3">
      <c r="A273" s="52" t="s">
        <v>107</v>
      </c>
      <c r="B273" s="51"/>
      <c r="C273" s="1">
        <v>200</v>
      </c>
      <c r="D273" s="1"/>
    </row>
    <row r="274" spans="1:4" x14ac:dyDescent="0.3">
      <c r="A274" s="52"/>
      <c r="B274" s="51"/>
      <c r="C274" s="1"/>
      <c r="D274" s="1"/>
    </row>
    <row r="275" spans="1:4" x14ac:dyDescent="0.3">
      <c r="A275" s="61" t="s">
        <v>47</v>
      </c>
      <c r="B275" s="51"/>
      <c r="C275" s="1">
        <v>0</v>
      </c>
      <c r="D275" s="1"/>
    </row>
    <row r="276" spans="1:4" x14ac:dyDescent="0.3">
      <c r="A276" s="52" t="s">
        <v>64</v>
      </c>
      <c r="B276" s="62"/>
      <c r="C276" s="1">
        <f>300+1900</f>
        <v>2200</v>
      </c>
      <c r="D276" s="1"/>
    </row>
    <row r="277" spans="1:4" x14ac:dyDescent="0.3">
      <c r="A277" s="52" t="s">
        <v>90</v>
      </c>
      <c r="B277" s="62"/>
      <c r="C277" s="1">
        <v>115900</v>
      </c>
      <c r="D277" s="1"/>
    </row>
    <row r="278" spans="1:4" x14ac:dyDescent="0.3">
      <c r="A278" s="56" t="s">
        <v>52</v>
      </c>
      <c r="B278" s="57"/>
      <c r="C278" s="1">
        <v>0</v>
      </c>
      <c r="D278" s="1"/>
    </row>
    <row r="279" spans="1:4" x14ac:dyDescent="0.3">
      <c r="A279" s="52" t="s">
        <v>53</v>
      </c>
      <c r="B279" s="51"/>
      <c r="C279" s="1">
        <v>1700</v>
      </c>
      <c r="D279" s="1"/>
    </row>
    <row r="280" spans="1:4" x14ac:dyDescent="0.3">
      <c r="A280" s="59" t="s">
        <v>42</v>
      </c>
      <c r="B280" s="51"/>
      <c r="C280" s="3">
        <f>SUM(C269:C279)</f>
        <v>141200</v>
      </c>
      <c r="D280" s="1"/>
    </row>
    <row r="281" spans="1:4" x14ac:dyDescent="0.3">
      <c r="A281" s="14"/>
      <c r="B281" s="14"/>
      <c r="C281" s="14"/>
      <c r="D281" s="14"/>
    </row>
    <row r="282" spans="1:4" x14ac:dyDescent="0.3">
      <c r="A282" t="s">
        <v>11</v>
      </c>
    </row>
    <row r="283" spans="1:4" x14ac:dyDescent="0.3">
      <c r="A283" t="s">
        <v>12</v>
      </c>
      <c r="B283" t="s">
        <v>13</v>
      </c>
    </row>
    <row r="285" spans="1:4" ht="15.6" x14ac:dyDescent="0.3">
      <c r="B285" s="4" t="s">
        <v>5</v>
      </c>
      <c r="C285" s="4"/>
    </row>
    <row r="286" spans="1:4" ht="15.6" x14ac:dyDescent="0.3">
      <c r="B286" s="4" t="s">
        <v>6</v>
      </c>
      <c r="C286" s="4"/>
    </row>
    <row r="287" spans="1:4" x14ac:dyDescent="0.3">
      <c r="A287" s="5" t="s">
        <v>7</v>
      </c>
      <c r="B287" s="5"/>
      <c r="C287" s="5"/>
      <c r="D287" s="5"/>
    </row>
    <row r="288" spans="1:4" x14ac:dyDescent="0.3">
      <c r="A288" s="5"/>
      <c r="B288" s="5" t="s">
        <v>30</v>
      </c>
      <c r="C288" s="5"/>
      <c r="D288" s="5"/>
    </row>
    <row r="289" spans="1:4" x14ac:dyDescent="0.3">
      <c r="A289" t="s">
        <v>8</v>
      </c>
      <c r="B289" t="s">
        <v>9</v>
      </c>
      <c r="C289" s="6">
        <v>13</v>
      </c>
    </row>
    <row r="292" spans="1:4" ht="28.8" x14ac:dyDescent="0.3">
      <c r="A292" s="1" t="s">
        <v>0</v>
      </c>
      <c r="B292" s="2" t="s">
        <v>1</v>
      </c>
      <c r="C292" s="2" t="s">
        <v>2</v>
      </c>
      <c r="D292" s="2" t="s">
        <v>3</v>
      </c>
    </row>
    <row r="293" spans="1:4" x14ac:dyDescent="0.3">
      <c r="A293" s="3" t="s">
        <v>4</v>
      </c>
      <c r="B293" s="1">
        <v>44357.52</v>
      </c>
      <c r="C293" s="1">
        <v>41254.36</v>
      </c>
      <c r="D293" s="1">
        <v>13900</v>
      </c>
    </row>
    <row r="294" spans="1:4" x14ac:dyDescent="0.3">
      <c r="A294" s="49" t="s">
        <v>10</v>
      </c>
      <c r="B294" s="50"/>
      <c r="C294" s="51"/>
      <c r="D294" s="1">
        <f>B293-D293</f>
        <v>30457.519999999997</v>
      </c>
    </row>
    <row r="296" spans="1:4" ht="28.8" x14ac:dyDescent="0.3">
      <c r="A296" s="60" t="s">
        <v>37</v>
      </c>
      <c r="B296" s="51"/>
      <c r="C296" s="21" t="s">
        <v>41</v>
      </c>
      <c r="D296" s="3"/>
    </row>
    <row r="297" spans="1:4" x14ac:dyDescent="0.3">
      <c r="A297" s="60" t="s">
        <v>38</v>
      </c>
      <c r="B297" s="51"/>
      <c r="C297" s="1">
        <v>0</v>
      </c>
      <c r="D297" s="1"/>
    </row>
    <row r="298" spans="1:4" x14ac:dyDescent="0.3">
      <c r="A298" s="52" t="s">
        <v>39</v>
      </c>
      <c r="B298" s="51"/>
      <c r="C298" s="1">
        <f>3700+3400</f>
        <v>7100</v>
      </c>
      <c r="D298" s="1"/>
    </row>
    <row r="299" spans="1:4" x14ac:dyDescent="0.3">
      <c r="A299" s="52" t="s">
        <v>131</v>
      </c>
      <c r="B299" s="51"/>
      <c r="C299" s="1">
        <v>2300</v>
      </c>
      <c r="D299" s="1"/>
    </row>
    <row r="300" spans="1:4" x14ac:dyDescent="0.3">
      <c r="A300" s="60" t="s">
        <v>40</v>
      </c>
      <c r="B300" s="51"/>
      <c r="C300" s="1">
        <v>0</v>
      </c>
      <c r="D300" s="1"/>
    </row>
    <row r="301" spans="1:4" x14ac:dyDescent="0.3">
      <c r="A301" s="52" t="s">
        <v>56</v>
      </c>
      <c r="B301" s="51"/>
      <c r="C301" s="1">
        <v>500</v>
      </c>
      <c r="D301" s="1"/>
    </row>
    <row r="302" spans="1:4" x14ac:dyDescent="0.3">
      <c r="A302" s="52" t="s">
        <v>130</v>
      </c>
      <c r="B302" s="51"/>
      <c r="C302" s="1">
        <f>3500+200</f>
        <v>3700</v>
      </c>
      <c r="D302" s="1"/>
    </row>
    <row r="303" spans="1:4" x14ac:dyDescent="0.3">
      <c r="A303" s="61" t="s">
        <v>47</v>
      </c>
      <c r="B303" s="51"/>
      <c r="C303" s="1">
        <v>0</v>
      </c>
      <c r="D303" s="1"/>
    </row>
    <row r="304" spans="1:4" x14ac:dyDescent="0.3">
      <c r="A304" s="52"/>
      <c r="B304" s="51"/>
      <c r="C304" s="1"/>
      <c r="D304" s="1"/>
    </row>
    <row r="305" spans="1:4" x14ac:dyDescent="0.3">
      <c r="A305" s="52"/>
      <c r="B305" s="51"/>
      <c r="C305" s="1"/>
      <c r="D305" s="1"/>
    </row>
    <row r="306" spans="1:4" x14ac:dyDescent="0.3">
      <c r="A306" s="56" t="s">
        <v>52</v>
      </c>
      <c r="B306" s="57"/>
      <c r="C306" s="1">
        <v>0</v>
      </c>
      <c r="D306" s="1"/>
    </row>
    <row r="307" spans="1:4" ht="14.4" customHeight="1" x14ac:dyDescent="0.3">
      <c r="A307" s="52" t="s">
        <v>53</v>
      </c>
      <c r="B307" s="51"/>
      <c r="C307" s="1">
        <v>300</v>
      </c>
      <c r="D307" s="1"/>
    </row>
    <row r="308" spans="1:4" x14ac:dyDescent="0.3">
      <c r="A308" s="59" t="s">
        <v>42</v>
      </c>
      <c r="B308" s="51"/>
      <c r="C308" s="3">
        <f>SUM(C297:C307)</f>
        <v>13900</v>
      </c>
      <c r="D308" s="1"/>
    </row>
    <row r="309" spans="1:4" x14ac:dyDescent="0.3">
      <c r="A309" s="14"/>
      <c r="B309" s="14"/>
      <c r="C309" s="14"/>
      <c r="D309" s="14"/>
    </row>
    <row r="310" spans="1:4" x14ac:dyDescent="0.3">
      <c r="A310" t="s">
        <v>11</v>
      </c>
    </row>
    <row r="311" spans="1:4" x14ac:dyDescent="0.3">
      <c r="A311" t="s">
        <v>12</v>
      </c>
      <c r="B311" t="s">
        <v>13</v>
      </c>
    </row>
    <row r="312" spans="1:4" x14ac:dyDescent="0.3">
      <c r="A312" s="5"/>
      <c r="B312" s="5" t="s">
        <v>30</v>
      </c>
      <c r="C312" s="5"/>
      <c r="D312" s="5"/>
    </row>
    <row r="313" spans="1:4" x14ac:dyDescent="0.3">
      <c r="A313" t="s">
        <v>8</v>
      </c>
      <c r="B313" t="s">
        <v>9</v>
      </c>
      <c r="C313" s="6">
        <v>14</v>
      </c>
    </row>
    <row r="316" spans="1:4" ht="28.8" x14ac:dyDescent="0.3">
      <c r="A316" s="1" t="s">
        <v>0</v>
      </c>
      <c r="B316" s="2" t="s">
        <v>1</v>
      </c>
      <c r="C316" s="2" t="s">
        <v>2</v>
      </c>
      <c r="D316" s="2" t="s">
        <v>3</v>
      </c>
    </row>
    <row r="317" spans="1:4" x14ac:dyDescent="0.3">
      <c r="A317" s="3" t="s">
        <v>4</v>
      </c>
      <c r="B317" s="1">
        <v>43514.94</v>
      </c>
      <c r="C317" s="1">
        <v>43538.54</v>
      </c>
      <c r="D317" s="1">
        <v>30800</v>
      </c>
    </row>
    <row r="318" spans="1:4" x14ac:dyDescent="0.3">
      <c r="A318" s="49" t="s">
        <v>10</v>
      </c>
      <c r="B318" s="50"/>
      <c r="C318" s="51"/>
      <c r="D318" s="1">
        <f>B317-D317</f>
        <v>12714.940000000002</v>
      </c>
    </row>
    <row r="320" spans="1:4" ht="28.8" x14ac:dyDescent="0.3">
      <c r="A320" s="60" t="s">
        <v>37</v>
      </c>
      <c r="B320" s="51"/>
      <c r="C320" s="21" t="s">
        <v>41</v>
      </c>
      <c r="D320" s="3"/>
    </row>
    <row r="321" spans="1:4" x14ac:dyDescent="0.3">
      <c r="A321" s="60" t="s">
        <v>38</v>
      </c>
      <c r="B321" s="51"/>
      <c r="C321" s="1">
        <v>0</v>
      </c>
      <c r="D321" s="1"/>
    </row>
    <row r="322" spans="1:4" x14ac:dyDescent="0.3">
      <c r="A322" s="52" t="s">
        <v>132</v>
      </c>
      <c r="B322" s="51"/>
      <c r="C322" s="1">
        <v>3700</v>
      </c>
      <c r="D322" s="1"/>
    </row>
    <row r="323" spans="1:4" x14ac:dyDescent="0.3">
      <c r="A323" s="52" t="s">
        <v>134</v>
      </c>
      <c r="B323" s="51"/>
      <c r="C323" s="1">
        <v>8100</v>
      </c>
      <c r="D323" s="1"/>
    </row>
    <row r="324" spans="1:4" x14ac:dyDescent="0.3">
      <c r="A324" s="52" t="s">
        <v>39</v>
      </c>
      <c r="B324" s="51"/>
      <c r="C324" s="1">
        <f>1400+1400</f>
        <v>2800</v>
      </c>
      <c r="D324" s="1"/>
    </row>
    <row r="325" spans="1:4" x14ac:dyDescent="0.3">
      <c r="A325" s="60" t="s">
        <v>40</v>
      </c>
      <c r="B325" s="51"/>
      <c r="C325" s="1">
        <v>0</v>
      </c>
      <c r="D325" s="1"/>
    </row>
    <row r="326" spans="1:4" x14ac:dyDescent="0.3">
      <c r="A326" s="52" t="s">
        <v>135</v>
      </c>
      <c r="B326" s="51"/>
      <c r="C326" s="1">
        <v>2100</v>
      </c>
      <c r="D326" s="1"/>
    </row>
    <row r="327" spans="1:4" x14ac:dyDescent="0.3">
      <c r="A327" s="52" t="s">
        <v>136</v>
      </c>
      <c r="B327" s="51"/>
      <c r="C327" s="1">
        <v>2900</v>
      </c>
      <c r="D327" s="1"/>
    </row>
    <row r="328" spans="1:4" x14ac:dyDescent="0.3">
      <c r="A328" s="61" t="s">
        <v>47</v>
      </c>
      <c r="B328" s="51"/>
      <c r="C328" s="1">
        <v>0</v>
      </c>
      <c r="D328" s="1"/>
    </row>
    <row r="329" spans="1:4" x14ac:dyDescent="0.3">
      <c r="A329" s="52" t="s">
        <v>133</v>
      </c>
      <c r="B329" s="51"/>
      <c r="C329" s="1">
        <v>1400</v>
      </c>
      <c r="D329" s="1"/>
    </row>
    <row r="330" spans="1:4" x14ac:dyDescent="0.3">
      <c r="A330" s="52"/>
      <c r="B330" s="51"/>
      <c r="C330" s="1"/>
      <c r="D330" s="1"/>
    </row>
    <row r="331" spans="1:4" x14ac:dyDescent="0.3">
      <c r="A331" s="56" t="s">
        <v>52</v>
      </c>
      <c r="B331" s="57"/>
      <c r="C331" s="1">
        <v>0</v>
      </c>
      <c r="D331" s="1"/>
    </row>
    <row r="332" spans="1:4" x14ac:dyDescent="0.3">
      <c r="A332" s="52" t="s">
        <v>53</v>
      </c>
      <c r="B332" s="51"/>
      <c r="C332" s="1">
        <f>2300+7500</f>
        <v>9800</v>
      </c>
      <c r="D332" s="1"/>
    </row>
    <row r="333" spans="1:4" x14ac:dyDescent="0.3">
      <c r="A333" s="59" t="s">
        <v>42</v>
      </c>
      <c r="B333" s="51"/>
      <c r="C333" s="3">
        <f>SUM(C321:C332)</f>
        <v>30800</v>
      </c>
      <c r="D333" s="1"/>
    </row>
    <row r="334" spans="1:4" x14ac:dyDescent="0.3">
      <c r="A334" s="14"/>
      <c r="B334" s="14"/>
      <c r="C334" s="14"/>
      <c r="D334" s="14"/>
    </row>
    <row r="335" spans="1:4" x14ac:dyDescent="0.3">
      <c r="A335" t="s">
        <v>11</v>
      </c>
    </row>
    <row r="336" spans="1:4" x14ac:dyDescent="0.3">
      <c r="A336" t="s">
        <v>12</v>
      </c>
      <c r="B336" t="s">
        <v>13</v>
      </c>
    </row>
    <row r="337" spans="1:4" ht="15.6" x14ac:dyDescent="0.3">
      <c r="B337" s="4" t="s">
        <v>5</v>
      </c>
      <c r="C337" s="4"/>
    </row>
    <row r="338" spans="1:4" ht="15.6" x14ac:dyDescent="0.3">
      <c r="B338" s="4" t="s">
        <v>6</v>
      </c>
      <c r="C338" s="4"/>
    </row>
    <row r="339" spans="1:4" x14ac:dyDescent="0.3">
      <c r="A339" s="5" t="s">
        <v>7</v>
      </c>
      <c r="B339" s="5"/>
      <c r="C339" s="5"/>
      <c r="D339" s="5"/>
    </row>
    <row r="340" spans="1:4" x14ac:dyDescent="0.3">
      <c r="A340" s="5"/>
      <c r="B340" s="5" t="s">
        <v>30</v>
      </c>
      <c r="C340" s="5"/>
      <c r="D340" s="5"/>
    </row>
    <row r="341" spans="1:4" x14ac:dyDescent="0.3">
      <c r="A341" t="s">
        <v>8</v>
      </c>
      <c r="B341" t="s">
        <v>9</v>
      </c>
      <c r="C341" s="6">
        <v>15</v>
      </c>
    </row>
    <row r="344" spans="1:4" ht="28.8" x14ac:dyDescent="0.3">
      <c r="A344" s="1" t="s">
        <v>0</v>
      </c>
      <c r="B344" s="2" t="s">
        <v>1</v>
      </c>
      <c r="C344" s="2" t="s">
        <v>2</v>
      </c>
      <c r="D344" s="2" t="s">
        <v>3</v>
      </c>
    </row>
    <row r="345" spans="1:4" x14ac:dyDescent="0.3">
      <c r="A345" s="3" t="s">
        <v>4</v>
      </c>
      <c r="B345" s="1">
        <v>41985.84</v>
      </c>
      <c r="C345" s="1">
        <v>41197.769999999997</v>
      </c>
      <c r="D345" s="1">
        <v>32700</v>
      </c>
    </row>
    <row r="346" spans="1:4" x14ac:dyDescent="0.3">
      <c r="A346" s="49" t="s">
        <v>10</v>
      </c>
      <c r="B346" s="50"/>
      <c r="C346" s="51"/>
      <c r="D346" s="1">
        <f>B345-D345</f>
        <v>9285.8399999999965</v>
      </c>
    </row>
    <row r="348" spans="1:4" ht="28.8" x14ac:dyDescent="0.3">
      <c r="A348" s="60" t="s">
        <v>37</v>
      </c>
      <c r="B348" s="51"/>
      <c r="C348" s="21" t="s">
        <v>41</v>
      </c>
      <c r="D348" s="3"/>
    </row>
    <row r="349" spans="1:4" x14ac:dyDescent="0.3">
      <c r="A349" s="60" t="s">
        <v>38</v>
      </c>
      <c r="B349" s="51"/>
      <c r="C349" s="1">
        <v>0</v>
      </c>
      <c r="D349" s="1"/>
    </row>
    <row r="350" spans="1:4" x14ac:dyDescent="0.3">
      <c r="A350" s="52" t="s">
        <v>137</v>
      </c>
      <c r="B350" s="51"/>
      <c r="C350" s="1">
        <v>7700</v>
      </c>
      <c r="D350" s="1"/>
    </row>
    <row r="351" spans="1:4" x14ac:dyDescent="0.3">
      <c r="A351" s="52" t="s">
        <v>39</v>
      </c>
      <c r="B351" s="51"/>
      <c r="C351" s="1">
        <f>3700+1700+5100+3300+1700+3400+3400</f>
        <v>22300</v>
      </c>
      <c r="D351" s="1"/>
    </row>
    <row r="352" spans="1:4" x14ac:dyDescent="0.3">
      <c r="A352" s="60" t="s">
        <v>40</v>
      </c>
      <c r="B352" s="51"/>
      <c r="C352" s="1">
        <v>0</v>
      </c>
      <c r="D352" s="1"/>
    </row>
    <row r="353" spans="1:4" x14ac:dyDescent="0.3">
      <c r="A353" s="52"/>
      <c r="B353" s="51"/>
      <c r="C353" s="1"/>
      <c r="D353" s="1"/>
    </row>
    <row r="354" spans="1:4" x14ac:dyDescent="0.3">
      <c r="A354" s="52"/>
      <c r="B354" s="51"/>
      <c r="C354" s="1"/>
      <c r="D354" s="1"/>
    </row>
    <row r="355" spans="1:4" x14ac:dyDescent="0.3">
      <c r="A355" s="61" t="s">
        <v>47</v>
      </c>
      <c r="B355" s="51"/>
      <c r="C355" s="1">
        <v>0</v>
      </c>
      <c r="D355" s="1"/>
    </row>
    <row r="356" spans="1:4" x14ac:dyDescent="0.3">
      <c r="A356" s="52" t="s">
        <v>48</v>
      </c>
      <c r="B356" s="51"/>
      <c r="C356" s="1">
        <v>1900</v>
      </c>
      <c r="D356" s="1"/>
    </row>
    <row r="357" spans="1:4" x14ac:dyDescent="0.3">
      <c r="A357" s="52" t="s">
        <v>49</v>
      </c>
      <c r="B357" s="51"/>
      <c r="C357" s="1">
        <v>400</v>
      </c>
      <c r="D357" s="1"/>
    </row>
    <row r="358" spans="1:4" x14ac:dyDescent="0.3">
      <c r="A358" s="56" t="s">
        <v>52</v>
      </c>
      <c r="B358" s="57"/>
      <c r="C358" s="1">
        <v>0</v>
      </c>
      <c r="D358" s="1"/>
    </row>
    <row r="359" spans="1:4" x14ac:dyDescent="0.3">
      <c r="A359" s="52" t="s">
        <v>53</v>
      </c>
      <c r="B359" s="51"/>
      <c r="C359" s="1">
        <v>400</v>
      </c>
      <c r="D359" s="1"/>
    </row>
    <row r="360" spans="1:4" x14ac:dyDescent="0.3">
      <c r="A360" s="59" t="s">
        <v>42</v>
      </c>
      <c r="B360" s="51"/>
      <c r="C360" s="3">
        <f>SUM(C349:C359)</f>
        <v>32700</v>
      </c>
      <c r="D360" s="1"/>
    </row>
    <row r="361" spans="1:4" x14ac:dyDescent="0.3">
      <c r="A361" s="14"/>
      <c r="B361" s="14"/>
      <c r="C361" s="14"/>
      <c r="D361" s="14"/>
    </row>
    <row r="362" spans="1:4" x14ac:dyDescent="0.3">
      <c r="A362" t="s">
        <v>11</v>
      </c>
    </row>
    <row r="363" spans="1:4" x14ac:dyDescent="0.3">
      <c r="A363" t="s">
        <v>12</v>
      </c>
      <c r="B363" t="s">
        <v>13</v>
      </c>
    </row>
    <row r="364" spans="1:4" ht="15.6" x14ac:dyDescent="0.3">
      <c r="B364" s="4" t="s">
        <v>5</v>
      </c>
      <c r="C364" s="4"/>
    </row>
    <row r="365" spans="1:4" ht="15.6" x14ac:dyDescent="0.3">
      <c r="B365" s="4" t="s">
        <v>6</v>
      </c>
      <c r="C365" s="4"/>
    </row>
    <row r="366" spans="1:4" x14ac:dyDescent="0.3">
      <c r="A366" s="5" t="s">
        <v>7</v>
      </c>
      <c r="B366" s="5"/>
      <c r="C366" s="5"/>
      <c r="D366" s="5"/>
    </row>
    <row r="367" spans="1:4" x14ac:dyDescent="0.3">
      <c r="A367" s="5"/>
      <c r="B367" s="5" t="s">
        <v>30</v>
      </c>
      <c r="C367" s="5"/>
      <c r="D367" s="5"/>
    </row>
    <row r="368" spans="1:4" x14ac:dyDescent="0.3">
      <c r="A368" t="s">
        <v>8</v>
      </c>
      <c r="B368" t="s">
        <v>9</v>
      </c>
      <c r="C368" s="6">
        <v>16</v>
      </c>
    </row>
    <row r="371" spans="1:4" ht="28.8" x14ac:dyDescent="0.3">
      <c r="A371" s="1" t="s">
        <v>0</v>
      </c>
      <c r="B371" s="2" t="s">
        <v>1</v>
      </c>
      <c r="C371" s="2" t="s">
        <v>2</v>
      </c>
      <c r="D371" s="2" t="s">
        <v>3</v>
      </c>
    </row>
    <row r="372" spans="1:4" x14ac:dyDescent="0.3">
      <c r="A372" s="3" t="s">
        <v>4</v>
      </c>
      <c r="B372" s="1">
        <v>43273.56</v>
      </c>
      <c r="C372" s="1">
        <v>43899.8</v>
      </c>
      <c r="D372" s="1">
        <v>33700</v>
      </c>
    </row>
    <row r="373" spans="1:4" x14ac:dyDescent="0.3">
      <c r="A373" s="49" t="s">
        <v>10</v>
      </c>
      <c r="B373" s="50"/>
      <c r="C373" s="51"/>
      <c r="D373" s="1">
        <f>B372-D372</f>
        <v>9573.5599999999977</v>
      </c>
    </row>
    <row r="375" spans="1:4" ht="28.8" x14ac:dyDescent="0.3">
      <c r="A375" s="60" t="s">
        <v>37</v>
      </c>
      <c r="B375" s="51"/>
      <c r="C375" s="21" t="s">
        <v>41</v>
      </c>
      <c r="D375" s="3"/>
    </row>
    <row r="376" spans="1:4" x14ac:dyDescent="0.3">
      <c r="A376" s="60" t="s">
        <v>38</v>
      </c>
      <c r="B376" s="51"/>
      <c r="C376" s="1">
        <v>0</v>
      </c>
      <c r="D376" s="1"/>
    </row>
    <row r="377" spans="1:4" x14ac:dyDescent="0.3">
      <c r="A377" s="52" t="s">
        <v>39</v>
      </c>
      <c r="B377" s="51"/>
      <c r="C377" s="1">
        <f>2400+6700+3400+6700</f>
        <v>19200</v>
      </c>
      <c r="D377" s="1"/>
    </row>
    <row r="378" spans="1:4" x14ac:dyDescent="0.3">
      <c r="A378" s="52"/>
      <c r="B378" s="51"/>
      <c r="C378" s="1"/>
      <c r="D378" s="1"/>
    </row>
    <row r="379" spans="1:4" x14ac:dyDescent="0.3">
      <c r="A379" s="60" t="s">
        <v>40</v>
      </c>
      <c r="B379" s="51"/>
      <c r="C379" s="1">
        <v>0</v>
      </c>
      <c r="D379" s="1"/>
    </row>
    <row r="380" spans="1:4" x14ac:dyDescent="0.3">
      <c r="A380" s="52" t="s">
        <v>63</v>
      </c>
      <c r="B380" s="51"/>
      <c r="C380" s="1">
        <v>7800</v>
      </c>
      <c r="D380" s="1"/>
    </row>
    <row r="381" spans="1:4" x14ac:dyDescent="0.3">
      <c r="A381" s="52"/>
      <c r="B381" s="51"/>
      <c r="C381" s="1"/>
      <c r="D381" s="1"/>
    </row>
    <row r="382" spans="1:4" x14ac:dyDescent="0.3">
      <c r="A382" s="61" t="s">
        <v>47</v>
      </c>
      <c r="B382" s="51"/>
      <c r="C382" s="1">
        <v>0</v>
      </c>
      <c r="D382" s="1"/>
    </row>
    <row r="383" spans="1:4" x14ac:dyDescent="0.3">
      <c r="A383" s="52" t="s">
        <v>122</v>
      </c>
      <c r="B383" s="51"/>
      <c r="C383" s="1">
        <v>100</v>
      </c>
      <c r="D383" s="1"/>
    </row>
    <row r="384" spans="1:4" x14ac:dyDescent="0.3">
      <c r="A384" s="52"/>
      <c r="B384" s="51"/>
      <c r="C384" s="1"/>
      <c r="D384" s="1"/>
    </row>
    <row r="385" spans="1:4" x14ac:dyDescent="0.3">
      <c r="A385" s="56" t="s">
        <v>52</v>
      </c>
      <c r="B385" s="57"/>
      <c r="C385" s="1">
        <v>0</v>
      </c>
      <c r="D385" s="1"/>
    </row>
    <row r="386" spans="1:4" x14ac:dyDescent="0.3">
      <c r="A386" s="52" t="s">
        <v>53</v>
      </c>
      <c r="B386" s="51"/>
      <c r="C386" s="1">
        <f>2800+1500+2300</f>
        <v>6600</v>
      </c>
      <c r="D386" s="1"/>
    </row>
    <row r="387" spans="1:4" x14ac:dyDescent="0.3">
      <c r="A387" s="59" t="s">
        <v>42</v>
      </c>
      <c r="B387" s="51"/>
      <c r="C387" s="3">
        <f>SUM(C376:C386)</f>
        <v>33700</v>
      </c>
      <c r="D387" s="1"/>
    </row>
    <row r="388" spans="1:4" x14ac:dyDescent="0.3">
      <c r="A388" s="14"/>
      <c r="B388" s="14"/>
      <c r="C388" s="14"/>
      <c r="D388" s="14"/>
    </row>
    <row r="389" spans="1:4" x14ac:dyDescent="0.3">
      <c r="A389" t="s">
        <v>11</v>
      </c>
    </row>
    <row r="390" spans="1:4" x14ac:dyDescent="0.3">
      <c r="A390" t="s">
        <v>12</v>
      </c>
      <c r="B390" t="s">
        <v>13</v>
      </c>
    </row>
    <row r="391" spans="1:4" ht="15.6" x14ac:dyDescent="0.3">
      <c r="B391" s="4" t="s">
        <v>5</v>
      </c>
      <c r="C391" s="4"/>
    </row>
    <row r="392" spans="1:4" ht="15.6" x14ac:dyDescent="0.3">
      <c r="B392" s="4" t="s">
        <v>6</v>
      </c>
      <c r="C392" s="4"/>
    </row>
    <row r="393" spans="1:4" x14ac:dyDescent="0.3">
      <c r="A393" s="5" t="s">
        <v>7</v>
      </c>
      <c r="B393" s="5"/>
      <c r="C393" s="5"/>
      <c r="D393" s="5"/>
    </row>
    <row r="394" spans="1:4" x14ac:dyDescent="0.3">
      <c r="A394" s="5"/>
      <c r="B394" s="5" t="s">
        <v>30</v>
      </c>
      <c r="C394" s="5"/>
      <c r="D394" s="5"/>
    </row>
    <row r="395" spans="1:4" x14ac:dyDescent="0.3">
      <c r="A395" t="s">
        <v>8</v>
      </c>
      <c r="B395" t="s">
        <v>9</v>
      </c>
      <c r="C395" s="6">
        <v>17</v>
      </c>
    </row>
    <row r="398" spans="1:4" ht="28.8" x14ac:dyDescent="0.3">
      <c r="A398" s="1" t="s">
        <v>0</v>
      </c>
      <c r="B398" s="2" t="s">
        <v>1</v>
      </c>
      <c r="C398" s="2" t="s">
        <v>2</v>
      </c>
      <c r="D398" s="2" t="s">
        <v>3</v>
      </c>
    </row>
    <row r="399" spans="1:4" x14ac:dyDescent="0.3">
      <c r="A399" s="3" t="s">
        <v>4</v>
      </c>
      <c r="B399" s="1">
        <v>43448.94</v>
      </c>
      <c r="C399" s="1">
        <v>40408.82</v>
      </c>
      <c r="D399" s="1">
        <v>27600</v>
      </c>
    </row>
    <row r="400" spans="1:4" x14ac:dyDescent="0.3">
      <c r="A400" s="49" t="s">
        <v>10</v>
      </c>
      <c r="B400" s="50"/>
      <c r="C400" s="51"/>
      <c r="D400" s="1">
        <f>B399-D399</f>
        <v>15848.940000000002</v>
      </c>
    </row>
    <row r="402" spans="1:4" ht="28.8" x14ac:dyDescent="0.3">
      <c r="A402" s="60" t="s">
        <v>37</v>
      </c>
      <c r="B402" s="51"/>
      <c r="C402" s="21" t="s">
        <v>41</v>
      </c>
      <c r="D402" s="3"/>
    </row>
    <row r="403" spans="1:4" x14ac:dyDescent="0.3">
      <c r="A403" s="60" t="s">
        <v>38</v>
      </c>
      <c r="B403" s="51"/>
      <c r="C403" s="1">
        <v>0</v>
      </c>
      <c r="D403" s="1"/>
    </row>
    <row r="404" spans="1:4" x14ac:dyDescent="0.3">
      <c r="A404" s="52" t="s">
        <v>39</v>
      </c>
      <c r="B404" s="51"/>
      <c r="C404" s="1">
        <f>1500+6700+1200</f>
        <v>9400</v>
      </c>
      <c r="D404" s="1"/>
    </row>
    <row r="405" spans="1:4" x14ac:dyDescent="0.3">
      <c r="A405" s="52" t="s">
        <v>138</v>
      </c>
      <c r="B405" s="51"/>
      <c r="C405" s="1">
        <f>2300+6100</f>
        <v>8400</v>
      </c>
      <c r="D405" s="1"/>
    </row>
    <row r="406" spans="1:4" x14ac:dyDescent="0.3">
      <c r="A406" s="66" t="s">
        <v>139</v>
      </c>
      <c r="B406" s="51"/>
      <c r="C406" s="1">
        <v>3200</v>
      </c>
      <c r="D406" s="1"/>
    </row>
    <row r="407" spans="1:4" x14ac:dyDescent="0.3">
      <c r="A407" s="60" t="s">
        <v>40</v>
      </c>
      <c r="B407" s="51"/>
      <c r="C407" s="1">
        <v>0</v>
      </c>
      <c r="D407" s="1"/>
    </row>
    <row r="408" spans="1:4" x14ac:dyDescent="0.3">
      <c r="A408" s="52" t="s">
        <v>140</v>
      </c>
      <c r="B408" s="51"/>
      <c r="C408" s="1">
        <v>5600</v>
      </c>
      <c r="D408" s="1"/>
    </row>
    <row r="409" spans="1:4" x14ac:dyDescent="0.3">
      <c r="A409" s="52"/>
      <c r="B409" s="51"/>
      <c r="C409" s="1"/>
      <c r="D409" s="1"/>
    </row>
    <row r="410" spans="1:4" x14ac:dyDescent="0.3">
      <c r="A410" s="61" t="s">
        <v>47</v>
      </c>
      <c r="B410" s="51"/>
      <c r="C410" s="1">
        <v>0</v>
      </c>
      <c r="D410" s="1"/>
    </row>
    <row r="411" spans="1:4" x14ac:dyDescent="0.3">
      <c r="A411" s="52"/>
      <c r="B411" s="51"/>
      <c r="C411" s="1"/>
      <c r="D411" s="1"/>
    </row>
    <row r="412" spans="1:4" x14ac:dyDescent="0.3">
      <c r="A412" s="52"/>
      <c r="B412" s="51"/>
      <c r="C412" s="1"/>
      <c r="D412" s="1"/>
    </row>
    <row r="413" spans="1:4" x14ac:dyDescent="0.3">
      <c r="A413" s="56" t="s">
        <v>52</v>
      </c>
      <c r="B413" s="57"/>
      <c r="C413" s="1">
        <v>0</v>
      </c>
      <c r="D413" s="1"/>
    </row>
    <row r="414" spans="1:4" x14ac:dyDescent="0.3">
      <c r="A414" s="52" t="s">
        <v>53</v>
      </c>
      <c r="B414" s="51"/>
      <c r="C414" s="1">
        <v>1000</v>
      </c>
      <c r="D414" s="1"/>
    </row>
    <row r="415" spans="1:4" x14ac:dyDescent="0.3">
      <c r="A415" s="59" t="s">
        <v>42</v>
      </c>
      <c r="B415" s="51"/>
      <c r="C415" s="3">
        <f>SUM(C403:C414)</f>
        <v>27600</v>
      </c>
      <c r="D415" s="1"/>
    </row>
    <row r="416" spans="1:4" x14ac:dyDescent="0.3">
      <c r="A416" s="14"/>
      <c r="B416" s="14"/>
      <c r="C416" s="14"/>
      <c r="D416" s="14"/>
    </row>
    <row r="417" spans="1:4" x14ac:dyDescent="0.3">
      <c r="A417" t="s">
        <v>11</v>
      </c>
    </row>
    <row r="418" spans="1:4" x14ac:dyDescent="0.3">
      <c r="A418" t="s">
        <v>12</v>
      </c>
      <c r="B418" t="s">
        <v>13</v>
      </c>
    </row>
    <row r="420" spans="1:4" ht="15.6" x14ac:dyDescent="0.3">
      <c r="B420" s="4" t="s">
        <v>5</v>
      </c>
      <c r="C420" s="4"/>
    </row>
    <row r="421" spans="1:4" ht="15.6" x14ac:dyDescent="0.3">
      <c r="B421" s="4" t="s">
        <v>6</v>
      </c>
      <c r="C421" s="4"/>
    </row>
    <row r="422" spans="1:4" x14ac:dyDescent="0.3">
      <c r="A422" s="5" t="s">
        <v>7</v>
      </c>
      <c r="B422" s="5"/>
      <c r="C422" s="5"/>
      <c r="D422" s="5"/>
    </row>
    <row r="423" spans="1:4" x14ac:dyDescent="0.3">
      <c r="A423" s="5"/>
      <c r="B423" s="5" t="s">
        <v>30</v>
      </c>
      <c r="C423" s="5"/>
      <c r="D423" s="5"/>
    </row>
    <row r="424" spans="1:4" x14ac:dyDescent="0.3">
      <c r="A424" t="s">
        <v>8</v>
      </c>
      <c r="B424" t="s">
        <v>9</v>
      </c>
      <c r="C424" s="6">
        <v>18</v>
      </c>
    </row>
    <row r="427" spans="1:4" ht="28.8" x14ac:dyDescent="0.3">
      <c r="A427" s="1" t="s">
        <v>0</v>
      </c>
      <c r="B427" s="2" t="s">
        <v>1</v>
      </c>
      <c r="C427" s="2" t="s">
        <v>2</v>
      </c>
      <c r="D427" s="2" t="s">
        <v>3</v>
      </c>
    </row>
    <row r="428" spans="1:4" x14ac:dyDescent="0.3">
      <c r="A428" s="3" t="s">
        <v>4</v>
      </c>
      <c r="B428" s="1">
        <v>34320.9</v>
      </c>
      <c r="C428" s="1">
        <v>30192.560000000001</v>
      </c>
      <c r="D428" s="1">
        <v>79200</v>
      </c>
    </row>
    <row r="429" spans="1:4" x14ac:dyDescent="0.3">
      <c r="A429" s="49" t="s">
        <v>32</v>
      </c>
      <c r="B429" s="50"/>
      <c r="C429" s="51"/>
      <c r="D429" s="1">
        <f>B428-D428</f>
        <v>-44879.1</v>
      </c>
    </row>
    <row r="431" spans="1:4" ht="28.8" x14ac:dyDescent="0.3">
      <c r="A431" s="60" t="s">
        <v>37</v>
      </c>
      <c r="B431" s="51"/>
      <c r="C431" s="21" t="s">
        <v>41</v>
      </c>
      <c r="D431" s="3"/>
    </row>
    <row r="432" spans="1:4" x14ac:dyDescent="0.3">
      <c r="A432" s="60" t="s">
        <v>38</v>
      </c>
      <c r="B432" s="51"/>
      <c r="C432" s="1">
        <v>0</v>
      </c>
      <c r="D432" s="1"/>
    </row>
    <row r="433" spans="1:4" x14ac:dyDescent="0.3">
      <c r="A433" s="52" t="s">
        <v>39</v>
      </c>
      <c r="B433" s="51"/>
      <c r="C433" s="1">
        <f>5000+2200+11200+6700+9000+18000+4400</f>
        <v>56500</v>
      </c>
      <c r="D433" s="1"/>
    </row>
    <row r="434" spans="1:4" x14ac:dyDescent="0.3">
      <c r="A434" s="52" t="s">
        <v>141</v>
      </c>
      <c r="B434" s="51"/>
      <c r="C434" s="1">
        <v>3400</v>
      </c>
      <c r="D434" s="1"/>
    </row>
    <row r="435" spans="1:4" x14ac:dyDescent="0.3">
      <c r="A435" s="66" t="s">
        <v>142</v>
      </c>
      <c r="B435" s="51"/>
      <c r="C435" s="1">
        <v>19100</v>
      </c>
      <c r="D435" s="1"/>
    </row>
    <row r="436" spans="1:4" x14ac:dyDescent="0.3">
      <c r="A436" s="60" t="s">
        <v>40</v>
      </c>
      <c r="B436" s="51"/>
      <c r="C436" s="1">
        <v>0</v>
      </c>
      <c r="D436" s="1"/>
    </row>
    <row r="437" spans="1:4" x14ac:dyDescent="0.3">
      <c r="A437" s="52"/>
      <c r="B437" s="51"/>
      <c r="C437" s="1"/>
      <c r="D437" s="1"/>
    </row>
    <row r="438" spans="1:4" x14ac:dyDescent="0.3">
      <c r="A438" s="52"/>
      <c r="B438" s="51"/>
      <c r="C438" s="1"/>
      <c r="D438" s="1"/>
    </row>
    <row r="439" spans="1:4" x14ac:dyDescent="0.3">
      <c r="A439" s="61" t="s">
        <v>47</v>
      </c>
      <c r="B439" s="51"/>
      <c r="C439" s="1">
        <v>0</v>
      </c>
      <c r="D439" s="1"/>
    </row>
    <row r="440" spans="1:4" x14ac:dyDescent="0.3">
      <c r="A440" s="52" t="s">
        <v>143</v>
      </c>
      <c r="B440" s="51"/>
      <c r="C440" s="1">
        <v>200</v>
      </c>
      <c r="D440" s="1"/>
    </row>
    <row r="441" spans="1:4" x14ac:dyDescent="0.3">
      <c r="A441" s="52"/>
      <c r="B441" s="51"/>
      <c r="C441" s="1"/>
      <c r="D441" s="1"/>
    </row>
    <row r="442" spans="1:4" x14ac:dyDescent="0.3">
      <c r="A442" s="56" t="s">
        <v>52</v>
      </c>
      <c r="B442" s="57"/>
      <c r="C442" s="1">
        <v>0</v>
      </c>
      <c r="D442" s="1"/>
    </row>
    <row r="443" spans="1:4" x14ac:dyDescent="0.3">
      <c r="A443" s="52" t="s">
        <v>53</v>
      </c>
      <c r="B443" s="51"/>
      <c r="C443" s="1"/>
      <c r="D443" s="1"/>
    </row>
    <row r="444" spans="1:4" x14ac:dyDescent="0.3">
      <c r="A444" s="59" t="s">
        <v>42</v>
      </c>
      <c r="B444" s="51"/>
      <c r="C444" s="3">
        <f>SUM(C432:C443)</f>
        <v>79200</v>
      </c>
      <c r="D444" s="1"/>
    </row>
    <row r="445" spans="1:4" x14ac:dyDescent="0.3">
      <c r="A445" s="14"/>
      <c r="B445" s="14"/>
      <c r="C445" s="14"/>
      <c r="D445" s="14"/>
    </row>
    <row r="446" spans="1:4" x14ac:dyDescent="0.3">
      <c r="A446" t="s">
        <v>11</v>
      </c>
    </row>
    <row r="447" spans="1:4" x14ac:dyDescent="0.3">
      <c r="A447" t="s">
        <v>12</v>
      </c>
      <c r="B447" t="s">
        <v>13</v>
      </c>
    </row>
    <row r="449" spans="1:4" ht="15.6" x14ac:dyDescent="0.3">
      <c r="B449" s="4" t="s">
        <v>5</v>
      </c>
      <c r="C449" s="4"/>
    </row>
    <row r="450" spans="1:4" ht="15.6" x14ac:dyDescent="0.3">
      <c r="B450" s="4" t="s">
        <v>6</v>
      </c>
      <c r="C450" s="4"/>
    </row>
    <row r="451" spans="1:4" x14ac:dyDescent="0.3">
      <c r="A451" s="5" t="s">
        <v>7</v>
      </c>
      <c r="B451" s="5"/>
      <c r="C451" s="5"/>
      <c r="D451" s="5"/>
    </row>
    <row r="452" spans="1:4" x14ac:dyDescent="0.3">
      <c r="A452" s="5"/>
      <c r="B452" s="5" t="s">
        <v>30</v>
      </c>
      <c r="C452" s="5"/>
      <c r="D452" s="5"/>
    </row>
    <row r="453" spans="1:4" x14ac:dyDescent="0.3">
      <c r="A453" t="s">
        <v>8</v>
      </c>
      <c r="B453" t="s">
        <v>9</v>
      </c>
      <c r="C453" s="6">
        <v>19</v>
      </c>
    </row>
    <row r="456" spans="1:4" ht="28.8" x14ac:dyDescent="0.3">
      <c r="A456" s="1" t="s">
        <v>0</v>
      </c>
      <c r="B456" s="2" t="s">
        <v>1</v>
      </c>
      <c r="C456" s="2" t="s">
        <v>2</v>
      </c>
      <c r="D456" s="2" t="s">
        <v>3</v>
      </c>
    </row>
    <row r="457" spans="1:4" x14ac:dyDescent="0.3">
      <c r="A457" s="3" t="s">
        <v>4</v>
      </c>
      <c r="B457" s="1">
        <v>43851.24</v>
      </c>
      <c r="C457" s="1">
        <v>40126.28</v>
      </c>
      <c r="D457" s="1">
        <v>189700</v>
      </c>
    </row>
    <row r="458" spans="1:4" x14ac:dyDescent="0.3">
      <c r="A458" s="49" t="s">
        <v>14</v>
      </c>
      <c r="B458" s="50"/>
      <c r="C458" s="51"/>
      <c r="D458" s="1">
        <f>B457-D457</f>
        <v>-145848.76</v>
      </c>
    </row>
    <row r="460" spans="1:4" ht="28.8" x14ac:dyDescent="0.3">
      <c r="A460" s="60" t="s">
        <v>37</v>
      </c>
      <c r="B460" s="51"/>
      <c r="C460" s="21" t="s">
        <v>41</v>
      </c>
      <c r="D460" s="3"/>
    </row>
    <row r="461" spans="1:4" x14ac:dyDescent="0.3">
      <c r="A461" s="60" t="s">
        <v>38</v>
      </c>
      <c r="B461" s="51"/>
      <c r="C461" s="1">
        <v>0</v>
      </c>
      <c r="D461" s="1"/>
    </row>
    <row r="462" spans="1:4" x14ac:dyDescent="0.3">
      <c r="A462" s="52" t="s">
        <v>39</v>
      </c>
      <c r="B462" s="51"/>
      <c r="C462" s="1">
        <f>9600+8600+9000+8600+3500+9700+15500+11900+12200+10500+10500+13300</f>
        <v>122900</v>
      </c>
      <c r="D462" s="1"/>
    </row>
    <row r="463" spans="1:4" x14ac:dyDescent="0.3">
      <c r="A463" s="52" t="s">
        <v>145</v>
      </c>
      <c r="B463" s="51"/>
      <c r="C463" s="1">
        <v>4800</v>
      </c>
      <c r="D463" s="1"/>
    </row>
    <row r="464" spans="1:4" ht="14.4" customHeight="1" x14ac:dyDescent="0.3">
      <c r="A464" s="52" t="s">
        <v>146</v>
      </c>
      <c r="B464" s="51"/>
      <c r="C464" s="1">
        <v>2100</v>
      </c>
      <c r="D464" s="1"/>
    </row>
    <row r="465" spans="1:4" x14ac:dyDescent="0.3">
      <c r="A465" s="60" t="s">
        <v>40</v>
      </c>
      <c r="B465" s="51"/>
      <c r="C465" s="1">
        <v>0</v>
      </c>
      <c r="D465" s="1"/>
    </row>
    <row r="466" spans="1:4" x14ac:dyDescent="0.3">
      <c r="A466" s="52" t="s">
        <v>144</v>
      </c>
      <c r="B466" s="51"/>
      <c r="C466" s="1">
        <v>400</v>
      </c>
      <c r="D466" s="1"/>
    </row>
    <row r="467" spans="1:4" x14ac:dyDescent="0.3">
      <c r="A467" s="52" t="s">
        <v>84</v>
      </c>
      <c r="B467" s="51"/>
      <c r="C467" s="1">
        <v>200</v>
      </c>
      <c r="D467" s="1"/>
    </row>
    <row r="468" spans="1:4" x14ac:dyDescent="0.3">
      <c r="A468" s="52" t="s">
        <v>147</v>
      </c>
      <c r="B468" s="51"/>
      <c r="C468" s="1">
        <f>38700+3700+16900</f>
        <v>59300</v>
      </c>
      <c r="D468" s="1"/>
    </row>
    <row r="469" spans="1:4" x14ac:dyDescent="0.3">
      <c r="A469" s="61" t="s">
        <v>47</v>
      </c>
      <c r="B469" s="51"/>
      <c r="C469" s="1">
        <v>0</v>
      </c>
      <c r="D469" s="1"/>
    </row>
    <row r="470" spans="1:4" x14ac:dyDescent="0.3">
      <c r="A470" s="52"/>
      <c r="B470" s="51"/>
      <c r="C470" s="1"/>
      <c r="D470" s="1"/>
    </row>
    <row r="471" spans="1:4" x14ac:dyDescent="0.3">
      <c r="A471" s="52"/>
      <c r="B471" s="51"/>
      <c r="C471" s="1"/>
      <c r="D471" s="1"/>
    </row>
    <row r="472" spans="1:4" x14ac:dyDescent="0.3">
      <c r="A472" s="56" t="s">
        <v>52</v>
      </c>
      <c r="B472" s="57"/>
      <c r="C472" s="1">
        <v>0</v>
      </c>
      <c r="D472" s="1"/>
    </row>
    <row r="473" spans="1:4" x14ac:dyDescent="0.3">
      <c r="A473" s="52" t="s">
        <v>53</v>
      </c>
      <c r="B473" s="51"/>
      <c r="C473" s="1"/>
      <c r="D473" s="1"/>
    </row>
    <row r="474" spans="1:4" x14ac:dyDescent="0.3">
      <c r="A474" s="59" t="s">
        <v>42</v>
      </c>
      <c r="B474" s="51"/>
      <c r="C474" s="3">
        <f>SUM(C461:C473)</f>
        <v>189700</v>
      </c>
      <c r="D474" s="1"/>
    </row>
    <row r="475" spans="1:4" x14ac:dyDescent="0.3">
      <c r="A475" s="14"/>
      <c r="B475" s="14"/>
      <c r="C475" s="14"/>
      <c r="D475" s="14"/>
    </row>
    <row r="476" spans="1:4" x14ac:dyDescent="0.3">
      <c r="A476" t="s">
        <v>11</v>
      </c>
    </row>
    <row r="477" spans="1:4" x14ac:dyDescent="0.3">
      <c r="A477" t="s">
        <v>12</v>
      </c>
      <c r="B477" t="s">
        <v>13</v>
      </c>
    </row>
    <row r="478" spans="1:4" ht="15.6" x14ac:dyDescent="0.3">
      <c r="B478" s="4" t="s">
        <v>6</v>
      </c>
      <c r="C478" s="4"/>
    </row>
    <row r="479" spans="1:4" x14ac:dyDescent="0.3">
      <c r="A479" s="5" t="s">
        <v>7</v>
      </c>
      <c r="B479" s="5"/>
      <c r="C479" s="5"/>
      <c r="D479" s="5"/>
    </row>
    <row r="480" spans="1:4" x14ac:dyDescent="0.3">
      <c r="A480" s="5"/>
      <c r="B480" s="5" t="s">
        <v>30</v>
      </c>
      <c r="C480" s="5"/>
      <c r="D480" s="5"/>
    </row>
    <row r="481" spans="1:4" x14ac:dyDescent="0.3">
      <c r="A481" t="s">
        <v>8</v>
      </c>
      <c r="B481" t="s">
        <v>9</v>
      </c>
      <c r="C481" s="6">
        <v>20</v>
      </c>
    </row>
    <row r="484" spans="1:4" ht="28.8" x14ac:dyDescent="0.3">
      <c r="A484" s="1" t="s">
        <v>0</v>
      </c>
      <c r="B484" s="2" t="s">
        <v>1</v>
      </c>
      <c r="C484" s="2" t="s">
        <v>2</v>
      </c>
      <c r="D484" s="2" t="s">
        <v>3</v>
      </c>
    </row>
    <row r="485" spans="1:4" x14ac:dyDescent="0.3">
      <c r="A485" s="3" t="s">
        <v>4</v>
      </c>
      <c r="B485" s="1">
        <v>35888.160000000003</v>
      </c>
      <c r="C485" s="1">
        <v>27186.79</v>
      </c>
      <c r="D485" s="1">
        <v>15400</v>
      </c>
    </row>
    <row r="486" spans="1:4" x14ac:dyDescent="0.3">
      <c r="A486" s="49" t="s">
        <v>31</v>
      </c>
      <c r="B486" s="50"/>
      <c r="C486" s="51"/>
      <c r="D486" s="1">
        <f>B485-D485</f>
        <v>20488.160000000003</v>
      </c>
    </row>
    <row r="488" spans="1:4" ht="28.8" x14ac:dyDescent="0.3">
      <c r="A488" s="60" t="s">
        <v>37</v>
      </c>
      <c r="B488" s="51"/>
      <c r="C488" s="21" t="s">
        <v>41</v>
      </c>
      <c r="D488" s="3"/>
    </row>
    <row r="489" spans="1:4" x14ac:dyDescent="0.3">
      <c r="A489" s="60" t="s">
        <v>38</v>
      </c>
      <c r="B489" s="51"/>
      <c r="C489" s="1">
        <v>0</v>
      </c>
      <c r="D489" s="1"/>
    </row>
    <row r="490" spans="1:4" x14ac:dyDescent="0.3">
      <c r="A490" s="52" t="s">
        <v>39</v>
      </c>
      <c r="B490" s="51"/>
      <c r="C490" s="1">
        <f>6700+2200</f>
        <v>8900</v>
      </c>
      <c r="D490" s="1"/>
    </row>
    <row r="491" spans="1:4" x14ac:dyDescent="0.3">
      <c r="A491" s="52" t="s">
        <v>148</v>
      </c>
      <c r="B491" s="51"/>
      <c r="C491" s="1">
        <v>4100</v>
      </c>
      <c r="D491" s="1"/>
    </row>
    <row r="492" spans="1:4" x14ac:dyDescent="0.3">
      <c r="A492" s="60" t="s">
        <v>40</v>
      </c>
      <c r="B492" s="51"/>
      <c r="C492" s="1">
        <v>0</v>
      </c>
      <c r="D492" s="1"/>
    </row>
    <row r="493" spans="1:4" x14ac:dyDescent="0.3">
      <c r="A493" s="52" t="s">
        <v>56</v>
      </c>
      <c r="B493" s="51"/>
      <c r="C493" s="1">
        <v>500</v>
      </c>
      <c r="D493" s="1"/>
    </row>
    <row r="494" spans="1:4" x14ac:dyDescent="0.3">
      <c r="A494" s="52" t="s">
        <v>102</v>
      </c>
      <c r="B494" s="51"/>
      <c r="C494" s="1">
        <v>1900</v>
      </c>
      <c r="D494" s="1"/>
    </row>
    <row r="495" spans="1:4" x14ac:dyDescent="0.3">
      <c r="A495" s="61" t="s">
        <v>47</v>
      </c>
      <c r="B495" s="51"/>
      <c r="C495" s="1">
        <v>0</v>
      </c>
      <c r="D495" s="1"/>
    </row>
    <row r="496" spans="1:4" x14ac:dyDescent="0.3">
      <c r="A496" s="52"/>
      <c r="B496" s="51"/>
      <c r="C496" s="1"/>
      <c r="D496" s="1"/>
    </row>
    <row r="497" spans="1:4" x14ac:dyDescent="0.3">
      <c r="A497" s="52"/>
      <c r="B497" s="51"/>
      <c r="C497" s="1"/>
      <c r="D497" s="1"/>
    </row>
    <row r="498" spans="1:4" x14ac:dyDescent="0.3">
      <c r="A498" s="56" t="s">
        <v>52</v>
      </c>
      <c r="B498" s="57"/>
      <c r="C498" s="1">
        <v>0</v>
      </c>
      <c r="D498" s="1"/>
    </row>
    <row r="499" spans="1:4" x14ac:dyDescent="0.3">
      <c r="A499" s="52" t="s">
        <v>53</v>
      </c>
      <c r="B499" s="51"/>
      <c r="C499" s="1"/>
      <c r="D499" s="1"/>
    </row>
    <row r="500" spans="1:4" x14ac:dyDescent="0.3">
      <c r="A500" s="59" t="s">
        <v>42</v>
      </c>
      <c r="B500" s="51"/>
      <c r="C500" s="3">
        <f>SUM(C489:C499)</f>
        <v>15400</v>
      </c>
      <c r="D500" s="1"/>
    </row>
    <row r="501" spans="1:4" x14ac:dyDescent="0.3">
      <c r="A501" s="14"/>
      <c r="B501" s="14"/>
      <c r="C501" s="14"/>
      <c r="D501" s="14"/>
    </row>
    <row r="502" spans="1:4" x14ac:dyDescent="0.3">
      <c r="A502" t="s">
        <v>11</v>
      </c>
    </row>
    <row r="503" spans="1:4" x14ac:dyDescent="0.3">
      <c r="A503" t="s">
        <v>12</v>
      </c>
      <c r="B503" t="s">
        <v>13</v>
      </c>
    </row>
    <row r="504" spans="1:4" ht="15.6" x14ac:dyDescent="0.3">
      <c r="B504" s="4" t="s">
        <v>5</v>
      </c>
      <c r="C504" s="4"/>
    </row>
    <row r="505" spans="1:4" ht="15.6" x14ac:dyDescent="0.3">
      <c r="B505" s="4" t="s">
        <v>6</v>
      </c>
      <c r="C505" s="4"/>
    </row>
    <row r="506" spans="1:4" x14ac:dyDescent="0.3">
      <c r="A506" s="5" t="s">
        <v>7</v>
      </c>
      <c r="B506" s="5"/>
      <c r="C506" s="5"/>
      <c r="D506" s="5"/>
    </row>
    <row r="507" spans="1:4" x14ac:dyDescent="0.3">
      <c r="A507" s="5"/>
      <c r="B507" s="5" t="s">
        <v>30</v>
      </c>
      <c r="C507" s="5"/>
      <c r="D507" s="5"/>
    </row>
    <row r="508" spans="1:4" x14ac:dyDescent="0.3">
      <c r="A508" t="s">
        <v>8</v>
      </c>
      <c r="B508" t="s">
        <v>9</v>
      </c>
      <c r="C508" s="6">
        <v>22</v>
      </c>
    </row>
    <row r="511" spans="1:4" ht="28.8" x14ac:dyDescent="0.3">
      <c r="A511" s="1" t="s">
        <v>0</v>
      </c>
      <c r="B511" s="2" t="s">
        <v>1</v>
      </c>
      <c r="C511" s="2" t="s">
        <v>2</v>
      </c>
      <c r="D511" s="2" t="s">
        <v>3</v>
      </c>
    </row>
    <row r="512" spans="1:4" x14ac:dyDescent="0.3">
      <c r="A512" s="3" t="s">
        <v>4</v>
      </c>
      <c r="B512" s="1">
        <v>35061.96</v>
      </c>
      <c r="C512" s="1">
        <v>29698.79</v>
      </c>
      <c r="D512" s="1">
        <v>52200</v>
      </c>
    </row>
    <row r="513" spans="1:4" x14ac:dyDescent="0.3">
      <c r="A513" s="49" t="s">
        <v>32</v>
      </c>
      <c r="B513" s="50"/>
      <c r="C513" s="51"/>
      <c r="D513" s="1">
        <f>B512-D512</f>
        <v>-17138.04</v>
      </c>
    </row>
    <row r="515" spans="1:4" ht="28.8" x14ac:dyDescent="0.3">
      <c r="A515" s="60" t="s">
        <v>37</v>
      </c>
      <c r="B515" s="51"/>
      <c r="C515" s="21" t="s">
        <v>41</v>
      </c>
      <c r="D515" s="3"/>
    </row>
    <row r="516" spans="1:4" x14ac:dyDescent="0.3">
      <c r="A516" s="60" t="s">
        <v>38</v>
      </c>
      <c r="B516" s="51"/>
      <c r="C516" s="1">
        <v>0</v>
      </c>
      <c r="D516" s="1"/>
    </row>
    <row r="517" spans="1:4" x14ac:dyDescent="0.3">
      <c r="A517" s="52" t="s">
        <v>149</v>
      </c>
      <c r="B517" s="51"/>
      <c r="C517" s="1">
        <v>24500</v>
      </c>
      <c r="D517" s="1"/>
    </row>
    <row r="518" spans="1:4" x14ac:dyDescent="0.3">
      <c r="A518" s="52" t="s">
        <v>39</v>
      </c>
      <c r="B518" s="51"/>
      <c r="C518" s="1">
        <f>2200+200+4500</f>
        <v>6900</v>
      </c>
      <c r="D518" s="1"/>
    </row>
    <row r="519" spans="1:4" x14ac:dyDescent="0.3">
      <c r="A519" s="52" t="s">
        <v>150</v>
      </c>
      <c r="B519" s="51"/>
      <c r="C519" s="1">
        <v>4100</v>
      </c>
      <c r="D519" s="1"/>
    </row>
    <row r="520" spans="1:4" x14ac:dyDescent="0.3">
      <c r="A520" s="52" t="s">
        <v>151</v>
      </c>
      <c r="B520" s="51"/>
      <c r="C520" s="1">
        <v>700</v>
      </c>
      <c r="D520" s="1"/>
    </row>
    <row r="521" spans="1:4" x14ac:dyDescent="0.3">
      <c r="A521" s="60" t="s">
        <v>40</v>
      </c>
      <c r="B521" s="51"/>
      <c r="C521" s="1">
        <v>0</v>
      </c>
      <c r="D521" s="1"/>
    </row>
    <row r="522" spans="1:4" x14ac:dyDescent="0.3">
      <c r="A522" s="52" t="s">
        <v>68</v>
      </c>
      <c r="B522" s="51"/>
      <c r="C522" s="1">
        <v>5800</v>
      </c>
      <c r="D522" s="1"/>
    </row>
    <row r="523" spans="1:4" x14ac:dyDescent="0.3">
      <c r="A523" s="52" t="s">
        <v>152</v>
      </c>
      <c r="B523" s="51"/>
      <c r="C523" s="1">
        <v>9300</v>
      </c>
      <c r="D523" s="1"/>
    </row>
    <row r="524" spans="1:4" x14ac:dyDescent="0.3">
      <c r="A524" s="61" t="s">
        <v>47</v>
      </c>
      <c r="B524" s="51"/>
      <c r="C524" s="1">
        <v>0</v>
      </c>
      <c r="D524" s="1"/>
    </row>
    <row r="525" spans="1:4" x14ac:dyDescent="0.3">
      <c r="A525" s="52" t="s">
        <v>64</v>
      </c>
      <c r="B525" s="51"/>
      <c r="C525" s="1">
        <v>900</v>
      </c>
      <c r="D525" s="1"/>
    </row>
    <row r="526" spans="1:4" x14ac:dyDescent="0.3">
      <c r="A526" s="52"/>
      <c r="B526" s="51"/>
      <c r="C526" s="1"/>
      <c r="D526" s="1"/>
    </row>
    <row r="527" spans="1:4" x14ac:dyDescent="0.3">
      <c r="A527" s="56" t="s">
        <v>52</v>
      </c>
      <c r="B527" s="57"/>
      <c r="C527" s="1">
        <v>0</v>
      </c>
      <c r="D527" s="1"/>
    </row>
    <row r="528" spans="1:4" x14ac:dyDescent="0.3">
      <c r="A528" s="52" t="s">
        <v>53</v>
      </c>
      <c r="B528" s="51"/>
      <c r="C528" s="1"/>
      <c r="D528" s="1"/>
    </row>
    <row r="529" spans="1:4" x14ac:dyDescent="0.3">
      <c r="A529" s="59" t="s">
        <v>42</v>
      </c>
      <c r="B529" s="51"/>
      <c r="C529" s="3">
        <f>SUM(C516:C528)</f>
        <v>52200</v>
      </c>
      <c r="D529" s="1"/>
    </row>
    <row r="530" spans="1:4" x14ac:dyDescent="0.3">
      <c r="A530" s="14"/>
      <c r="B530" s="14"/>
      <c r="C530" s="14"/>
      <c r="D530" s="14"/>
    </row>
    <row r="531" spans="1:4" x14ac:dyDescent="0.3">
      <c r="A531" t="s">
        <v>11</v>
      </c>
    </row>
    <row r="532" spans="1:4" x14ac:dyDescent="0.3">
      <c r="A532" t="s">
        <v>12</v>
      </c>
      <c r="B532" t="s">
        <v>13</v>
      </c>
    </row>
    <row r="534" spans="1:4" ht="15.6" x14ac:dyDescent="0.3">
      <c r="B534" s="4" t="s">
        <v>5</v>
      </c>
      <c r="C534" s="4"/>
    </row>
    <row r="535" spans="1:4" ht="15.6" x14ac:dyDescent="0.3">
      <c r="B535" s="4" t="s">
        <v>6</v>
      </c>
      <c r="C535" s="4"/>
    </row>
    <row r="536" spans="1:4" x14ac:dyDescent="0.3">
      <c r="A536" s="5" t="s">
        <v>7</v>
      </c>
      <c r="B536" s="5"/>
      <c r="C536" s="5"/>
      <c r="D536" s="5"/>
    </row>
    <row r="537" spans="1:4" x14ac:dyDescent="0.3">
      <c r="A537" s="5"/>
      <c r="B537" s="5" t="s">
        <v>30</v>
      </c>
      <c r="C537" s="5"/>
      <c r="D537" s="5"/>
    </row>
    <row r="538" spans="1:4" x14ac:dyDescent="0.3">
      <c r="A538" t="s">
        <v>8</v>
      </c>
      <c r="B538" t="s">
        <v>9</v>
      </c>
      <c r="C538" s="6">
        <v>24</v>
      </c>
    </row>
    <row r="541" spans="1:4" ht="28.8" x14ac:dyDescent="0.3">
      <c r="A541" s="1" t="s">
        <v>0</v>
      </c>
      <c r="B541" s="2" t="s">
        <v>1</v>
      </c>
      <c r="C541" s="2" t="s">
        <v>2</v>
      </c>
      <c r="D541" s="2" t="s">
        <v>3</v>
      </c>
    </row>
    <row r="542" spans="1:4" x14ac:dyDescent="0.3">
      <c r="A542" s="3" t="s">
        <v>4</v>
      </c>
      <c r="B542" s="1">
        <v>40923.18</v>
      </c>
      <c r="C542" s="1">
        <v>39088.07</v>
      </c>
      <c r="D542" s="1">
        <v>72200</v>
      </c>
    </row>
    <row r="543" spans="1:4" x14ac:dyDescent="0.3">
      <c r="A543" s="49" t="s">
        <v>32</v>
      </c>
      <c r="B543" s="50"/>
      <c r="C543" s="51"/>
      <c r="D543" s="1">
        <f>B542-D542</f>
        <v>-31276.82</v>
      </c>
    </row>
    <row r="545" spans="1:4" ht="28.8" x14ac:dyDescent="0.3">
      <c r="A545" s="60" t="s">
        <v>37</v>
      </c>
      <c r="B545" s="51"/>
      <c r="C545" s="21" t="s">
        <v>41</v>
      </c>
      <c r="D545" s="3"/>
    </row>
    <row r="546" spans="1:4" x14ac:dyDescent="0.3">
      <c r="A546" s="60" t="s">
        <v>38</v>
      </c>
      <c r="B546" s="51"/>
      <c r="C546" s="1">
        <v>0</v>
      </c>
      <c r="D546" s="1"/>
    </row>
    <row r="547" spans="1:4" x14ac:dyDescent="0.3">
      <c r="A547" s="52" t="s">
        <v>87</v>
      </c>
      <c r="B547" s="51"/>
      <c r="C547" s="1">
        <f>1800+2300</f>
        <v>4100</v>
      </c>
      <c r="D547" s="1"/>
    </row>
    <row r="548" spans="1:4" x14ac:dyDescent="0.3">
      <c r="A548" s="52" t="s">
        <v>39</v>
      </c>
      <c r="B548" s="51"/>
      <c r="C548" s="1">
        <f>3400+10800+4600+3900+2300+10300+3900+4600+4200+4400</f>
        <v>52400</v>
      </c>
      <c r="D548" s="1"/>
    </row>
    <row r="549" spans="1:4" x14ac:dyDescent="0.3">
      <c r="A549" s="60" t="s">
        <v>40</v>
      </c>
      <c r="B549" s="51"/>
      <c r="C549" s="1">
        <v>0</v>
      </c>
      <c r="D549" s="1"/>
    </row>
    <row r="550" spans="1:4" x14ac:dyDescent="0.3">
      <c r="A550" s="52" t="s">
        <v>153</v>
      </c>
      <c r="B550" s="51"/>
      <c r="C550" s="1">
        <f>300+800</f>
        <v>1100</v>
      </c>
      <c r="D550" s="1"/>
    </row>
    <row r="551" spans="1:4" x14ac:dyDescent="0.3">
      <c r="A551" s="52" t="s">
        <v>154</v>
      </c>
      <c r="B551" s="51"/>
      <c r="C551" s="1">
        <v>3000</v>
      </c>
      <c r="D551" s="1"/>
    </row>
    <row r="552" spans="1:4" x14ac:dyDescent="0.3">
      <c r="A552" s="66" t="s">
        <v>56</v>
      </c>
      <c r="B552" s="65"/>
      <c r="C552" s="1">
        <v>300</v>
      </c>
      <c r="D552" s="1"/>
    </row>
    <row r="553" spans="1:4" x14ac:dyDescent="0.3">
      <c r="A553" s="52" t="s">
        <v>68</v>
      </c>
      <c r="B553" s="51"/>
      <c r="C553" s="1">
        <v>9100</v>
      </c>
      <c r="D553" s="1"/>
    </row>
    <row r="554" spans="1:4" x14ac:dyDescent="0.3">
      <c r="A554" s="61" t="s">
        <v>47</v>
      </c>
      <c r="B554" s="51"/>
      <c r="C554" s="1">
        <v>0</v>
      </c>
      <c r="D554" s="1"/>
    </row>
    <row r="555" spans="1:4" x14ac:dyDescent="0.3">
      <c r="A555" s="52" t="s">
        <v>133</v>
      </c>
      <c r="B555" s="51" t="s">
        <v>133</v>
      </c>
      <c r="C555" s="1">
        <v>1400</v>
      </c>
      <c r="D555" s="1"/>
    </row>
    <row r="556" spans="1:4" x14ac:dyDescent="0.3">
      <c r="A556" s="52"/>
      <c r="B556" s="51"/>
      <c r="C556" s="1"/>
      <c r="D556" s="1"/>
    </row>
    <row r="557" spans="1:4" x14ac:dyDescent="0.3">
      <c r="A557" s="56" t="s">
        <v>52</v>
      </c>
      <c r="B557" s="57"/>
      <c r="C557" s="1">
        <v>0</v>
      </c>
      <c r="D557" s="1"/>
    </row>
    <row r="558" spans="1:4" x14ac:dyDescent="0.3">
      <c r="A558" s="52" t="s">
        <v>53</v>
      </c>
      <c r="B558" s="51"/>
      <c r="C558" s="1">
        <v>800</v>
      </c>
      <c r="D558" s="1"/>
    </row>
    <row r="559" spans="1:4" x14ac:dyDescent="0.3">
      <c r="A559" s="59" t="s">
        <v>42</v>
      </c>
      <c r="B559" s="51"/>
      <c r="C559" s="3">
        <f>SUM(C546:C558)</f>
        <v>72200</v>
      </c>
      <c r="D559" s="1"/>
    </row>
    <row r="560" spans="1:4" x14ac:dyDescent="0.3">
      <c r="A560" s="14"/>
      <c r="B560" s="14"/>
      <c r="C560" s="14"/>
      <c r="D560" s="14"/>
    </row>
    <row r="561" spans="1:4" x14ac:dyDescent="0.3">
      <c r="A561" t="s">
        <v>11</v>
      </c>
    </row>
    <row r="562" spans="1:4" x14ac:dyDescent="0.3">
      <c r="A562" t="s">
        <v>12</v>
      </c>
      <c r="B562" t="s">
        <v>13</v>
      </c>
    </row>
    <row r="565" spans="1:4" ht="15.6" x14ac:dyDescent="0.3">
      <c r="B565" s="4" t="s">
        <v>5</v>
      </c>
      <c r="C565" s="4"/>
    </row>
    <row r="566" spans="1:4" ht="15.6" x14ac:dyDescent="0.3">
      <c r="B566" s="4" t="s">
        <v>6</v>
      </c>
      <c r="C566" s="4"/>
    </row>
    <row r="567" spans="1:4" x14ac:dyDescent="0.3">
      <c r="A567" s="5" t="s">
        <v>7</v>
      </c>
      <c r="B567" s="5"/>
      <c r="C567" s="5"/>
      <c r="D567" s="5"/>
    </row>
    <row r="568" spans="1:4" x14ac:dyDescent="0.3">
      <c r="A568" s="5"/>
      <c r="B568" s="5" t="s">
        <v>30</v>
      </c>
      <c r="C568" s="5"/>
      <c r="D568" s="5"/>
    </row>
    <row r="569" spans="1:4" x14ac:dyDescent="0.3">
      <c r="A569" t="s">
        <v>8</v>
      </c>
      <c r="B569" t="s">
        <v>9</v>
      </c>
      <c r="C569" s="6">
        <v>26</v>
      </c>
    </row>
    <row r="572" spans="1:4" ht="28.8" x14ac:dyDescent="0.3">
      <c r="A572" s="1" t="s">
        <v>0</v>
      </c>
      <c r="B572" s="2" t="s">
        <v>1</v>
      </c>
      <c r="C572" s="2" t="s">
        <v>2</v>
      </c>
      <c r="D572" s="2" t="s">
        <v>3</v>
      </c>
    </row>
    <row r="573" spans="1:4" x14ac:dyDescent="0.3">
      <c r="A573" s="3" t="s">
        <v>4</v>
      </c>
      <c r="B573" s="1">
        <v>50000.46</v>
      </c>
      <c r="C573" s="1">
        <v>45067.25</v>
      </c>
      <c r="D573" s="1">
        <v>24700</v>
      </c>
    </row>
    <row r="574" spans="1:4" x14ac:dyDescent="0.3">
      <c r="A574" s="49" t="s">
        <v>10</v>
      </c>
      <c r="B574" s="50"/>
      <c r="C574" s="51"/>
      <c r="D574" s="1">
        <f>B573-D573</f>
        <v>25300.46</v>
      </c>
    </row>
    <row r="576" spans="1:4" ht="28.8" x14ac:dyDescent="0.3">
      <c r="A576" s="60" t="s">
        <v>37</v>
      </c>
      <c r="B576" s="51"/>
      <c r="C576" s="21" t="s">
        <v>41</v>
      </c>
      <c r="D576" s="3"/>
    </row>
    <row r="577" spans="1:4" x14ac:dyDescent="0.3">
      <c r="A577" s="60" t="s">
        <v>38</v>
      </c>
      <c r="B577" s="51"/>
      <c r="C577" s="1">
        <v>0</v>
      </c>
      <c r="D577" s="1"/>
    </row>
    <row r="578" spans="1:4" x14ac:dyDescent="0.3">
      <c r="A578" s="52" t="s">
        <v>39</v>
      </c>
      <c r="B578" s="51"/>
      <c r="C578" s="1">
        <f>4900+3400+3400</f>
        <v>11700</v>
      </c>
      <c r="D578" s="1"/>
    </row>
    <row r="579" spans="1:4" x14ac:dyDescent="0.3">
      <c r="A579" s="52"/>
      <c r="B579" s="51"/>
      <c r="C579" s="1"/>
      <c r="D579" s="1"/>
    </row>
    <row r="580" spans="1:4" x14ac:dyDescent="0.3">
      <c r="A580" s="60" t="s">
        <v>40</v>
      </c>
      <c r="B580" s="51"/>
      <c r="C580" s="1">
        <v>0</v>
      </c>
      <c r="D580" s="1"/>
    </row>
    <row r="581" spans="1:4" x14ac:dyDescent="0.3">
      <c r="A581" s="52" t="s">
        <v>56</v>
      </c>
      <c r="B581" s="51"/>
      <c r="C581" s="1">
        <v>100</v>
      </c>
      <c r="D581" s="1"/>
    </row>
    <row r="582" spans="1:4" x14ac:dyDescent="0.3">
      <c r="A582" s="52" t="s">
        <v>156</v>
      </c>
      <c r="B582" s="51"/>
      <c r="C582" s="1">
        <f>2500+5100</f>
        <v>7600</v>
      </c>
      <c r="D582" s="1"/>
    </row>
    <row r="583" spans="1:4" x14ac:dyDescent="0.3">
      <c r="A583" s="52" t="s">
        <v>154</v>
      </c>
      <c r="B583" s="51"/>
      <c r="C583" s="1">
        <v>1600</v>
      </c>
      <c r="D583" s="1"/>
    </row>
    <row r="584" spans="1:4" x14ac:dyDescent="0.3">
      <c r="A584" s="22"/>
      <c r="B584" s="20"/>
      <c r="C584" s="1"/>
      <c r="D584" s="1"/>
    </row>
    <row r="585" spans="1:4" x14ac:dyDescent="0.3">
      <c r="A585" s="61" t="s">
        <v>47</v>
      </c>
      <c r="B585" s="51"/>
      <c r="C585" s="1">
        <v>0</v>
      </c>
      <c r="D585" s="1"/>
    </row>
    <row r="586" spans="1:4" x14ac:dyDescent="0.3">
      <c r="A586" s="52" t="s">
        <v>155</v>
      </c>
      <c r="B586" s="51"/>
      <c r="C586" s="1">
        <v>100</v>
      </c>
      <c r="D586" s="1"/>
    </row>
    <row r="587" spans="1:4" x14ac:dyDescent="0.3">
      <c r="A587" s="52" t="s">
        <v>157</v>
      </c>
      <c r="B587" s="51"/>
      <c r="C587" s="1">
        <f>300+500+1400+1400</f>
        <v>3600</v>
      </c>
      <c r="D587" s="1"/>
    </row>
    <row r="588" spans="1:4" x14ac:dyDescent="0.3">
      <c r="A588" s="56" t="s">
        <v>52</v>
      </c>
      <c r="B588" s="57"/>
      <c r="C588" s="1">
        <v>0</v>
      </c>
      <c r="D588" s="1"/>
    </row>
    <row r="589" spans="1:4" x14ac:dyDescent="0.3">
      <c r="A589" s="52" t="s">
        <v>53</v>
      </c>
      <c r="B589" s="51"/>
      <c r="C589" s="1"/>
      <c r="D589" s="1"/>
    </row>
    <row r="590" spans="1:4" x14ac:dyDescent="0.3">
      <c r="A590" s="59" t="s">
        <v>42</v>
      </c>
      <c r="B590" s="51"/>
      <c r="C590" s="3">
        <f>SUM(C577:C589)</f>
        <v>24700</v>
      </c>
      <c r="D590" s="1"/>
    </row>
    <row r="591" spans="1:4" x14ac:dyDescent="0.3">
      <c r="A591" s="14"/>
      <c r="B591" s="14"/>
      <c r="C591" s="14"/>
      <c r="D591" s="14"/>
    </row>
    <row r="592" spans="1:4" x14ac:dyDescent="0.3">
      <c r="A592" t="s">
        <v>11</v>
      </c>
    </row>
    <row r="593" spans="1:4" x14ac:dyDescent="0.3">
      <c r="A593" t="s">
        <v>12</v>
      </c>
      <c r="B593" t="s">
        <v>13</v>
      </c>
    </row>
    <row r="594" spans="1:4" ht="15.6" x14ac:dyDescent="0.3">
      <c r="B594" s="4" t="s">
        <v>5</v>
      </c>
      <c r="C594" s="4"/>
    </row>
    <row r="595" spans="1:4" ht="15.6" x14ac:dyDescent="0.3">
      <c r="B595" s="4" t="s">
        <v>6</v>
      </c>
      <c r="C595" s="4"/>
    </row>
    <row r="596" spans="1:4" x14ac:dyDescent="0.3">
      <c r="A596" s="5" t="s">
        <v>7</v>
      </c>
      <c r="B596" s="5"/>
      <c r="C596" s="5"/>
      <c r="D596" s="5"/>
    </row>
    <row r="597" spans="1:4" x14ac:dyDescent="0.3">
      <c r="A597" s="5"/>
      <c r="B597" s="5" t="s">
        <v>30</v>
      </c>
      <c r="C597" s="5"/>
      <c r="D597" s="5"/>
    </row>
    <row r="598" spans="1:4" x14ac:dyDescent="0.3">
      <c r="A598" t="s">
        <v>8</v>
      </c>
      <c r="B598" t="s">
        <v>9</v>
      </c>
      <c r="C598" s="6">
        <v>28</v>
      </c>
    </row>
    <row r="601" spans="1:4" ht="28.8" x14ac:dyDescent="0.3">
      <c r="A601" s="1" t="s">
        <v>0</v>
      </c>
      <c r="B601" s="2" t="s">
        <v>1</v>
      </c>
      <c r="C601" s="2" t="s">
        <v>2</v>
      </c>
      <c r="D601" s="2" t="s">
        <v>3</v>
      </c>
    </row>
    <row r="602" spans="1:4" x14ac:dyDescent="0.3">
      <c r="A602" s="3" t="s">
        <v>4</v>
      </c>
      <c r="B602" s="1">
        <v>49659.9</v>
      </c>
      <c r="C602" s="1">
        <v>43109.279999999999</v>
      </c>
      <c r="D602" s="1">
        <v>9700</v>
      </c>
    </row>
    <row r="603" spans="1:4" x14ac:dyDescent="0.3">
      <c r="A603" s="49" t="s">
        <v>10</v>
      </c>
      <c r="B603" s="50"/>
      <c r="C603" s="51"/>
      <c r="D603" s="1">
        <f>B602-D602</f>
        <v>39959.9</v>
      </c>
    </row>
    <row r="605" spans="1:4" ht="28.8" x14ac:dyDescent="0.3">
      <c r="A605" s="60" t="s">
        <v>37</v>
      </c>
      <c r="B605" s="51"/>
      <c r="C605" s="21" t="s">
        <v>41</v>
      </c>
      <c r="D605" s="3"/>
    </row>
    <row r="606" spans="1:4" x14ac:dyDescent="0.3">
      <c r="A606" s="60" t="s">
        <v>38</v>
      </c>
      <c r="B606" s="51"/>
      <c r="C606" s="1">
        <v>0</v>
      </c>
      <c r="D606" s="1"/>
    </row>
    <row r="607" spans="1:4" x14ac:dyDescent="0.3">
      <c r="A607" s="52"/>
      <c r="B607" s="51"/>
      <c r="C607" s="1"/>
      <c r="D607" s="1"/>
    </row>
    <row r="608" spans="1:4" x14ac:dyDescent="0.3">
      <c r="A608" s="52"/>
      <c r="B608" s="51"/>
      <c r="C608" s="1"/>
      <c r="D608" s="1"/>
    </row>
    <row r="609" spans="1:4" x14ac:dyDescent="0.3">
      <c r="A609" s="60" t="s">
        <v>40</v>
      </c>
      <c r="B609" s="51"/>
      <c r="C609" s="1">
        <v>0</v>
      </c>
      <c r="D609" s="1"/>
    </row>
    <row r="610" spans="1:4" x14ac:dyDescent="0.3">
      <c r="A610" s="52" t="s">
        <v>70</v>
      </c>
      <c r="B610" s="51"/>
      <c r="C610" s="1">
        <f>5800+1000</f>
        <v>6800</v>
      </c>
      <c r="D610" s="1"/>
    </row>
    <row r="611" spans="1:4" x14ac:dyDescent="0.3">
      <c r="A611" s="52" t="s">
        <v>56</v>
      </c>
      <c r="B611" s="51"/>
      <c r="C611" s="1">
        <v>600</v>
      </c>
      <c r="D611" s="1"/>
    </row>
    <row r="612" spans="1:4" x14ac:dyDescent="0.3">
      <c r="A612" s="61" t="s">
        <v>47</v>
      </c>
      <c r="B612" s="51"/>
      <c r="C612" s="1">
        <v>0</v>
      </c>
      <c r="D612" s="1"/>
    </row>
    <row r="613" spans="1:4" x14ac:dyDescent="0.3">
      <c r="A613" s="52" t="s">
        <v>64</v>
      </c>
      <c r="B613" s="51"/>
      <c r="C613" s="1">
        <v>600</v>
      </c>
      <c r="D613" s="1"/>
    </row>
    <row r="614" spans="1:4" x14ac:dyDescent="0.3">
      <c r="A614" s="52" t="s">
        <v>49</v>
      </c>
      <c r="B614" s="51"/>
      <c r="C614" s="1">
        <v>1100</v>
      </c>
      <c r="D614" s="1"/>
    </row>
    <row r="615" spans="1:4" x14ac:dyDescent="0.3">
      <c r="A615" s="56" t="s">
        <v>52</v>
      </c>
      <c r="B615" s="57"/>
      <c r="C615" s="1">
        <v>0</v>
      </c>
      <c r="D615" s="1"/>
    </row>
    <row r="616" spans="1:4" x14ac:dyDescent="0.3">
      <c r="A616" s="52" t="s">
        <v>53</v>
      </c>
      <c r="B616" s="51"/>
      <c r="C616" s="1">
        <v>600</v>
      </c>
      <c r="D616" s="1"/>
    </row>
    <row r="617" spans="1:4" x14ac:dyDescent="0.3">
      <c r="A617" s="59" t="s">
        <v>42</v>
      </c>
      <c r="B617" s="51"/>
      <c r="C617" s="3">
        <f>SUM(C606:C616)</f>
        <v>9700</v>
      </c>
      <c r="D617" s="1"/>
    </row>
    <row r="618" spans="1:4" x14ac:dyDescent="0.3">
      <c r="A618" s="14"/>
      <c r="B618" s="14"/>
      <c r="C618" s="14"/>
      <c r="D618" s="14"/>
    </row>
    <row r="619" spans="1:4" x14ac:dyDescent="0.3">
      <c r="A619" t="s">
        <v>11</v>
      </c>
    </row>
    <row r="620" spans="1:4" x14ac:dyDescent="0.3">
      <c r="A620" t="s">
        <v>12</v>
      </c>
      <c r="B620" t="s">
        <v>13</v>
      </c>
    </row>
    <row r="621" spans="1:4" ht="15.6" x14ac:dyDescent="0.3">
      <c r="B621" s="4" t="s">
        <v>5</v>
      </c>
      <c r="C621" s="4"/>
    </row>
    <row r="622" spans="1:4" ht="15.6" x14ac:dyDescent="0.3">
      <c r="B622" s="4" t="s">
        <v>6</v>
      </c>
      <c r="C622" s="4"/>
    </row>
    <row r="623" spans="1:4" x14ac:dyDescent="0.3">
      <c r="A623" s="5" t="s">
        <v>7</v>
      </c>
      <c r="B623" s="5"/>
      <c r="C623" s="5"/>
      <c r="D623" s="5"/>
    </row>
    <row r="624" spans="1:4" x14ac:dyDescent="0.3">
      <c r="A624" s="5"/>
      <c r="B624" s="5" t="s">
        <v>30</v>
      </c>
      <c r="C624" s="5"/>
      <c r="D624" s="5"/>
    </row>
    <row r="625" spans="1:4" x14ac:dyDescent="0.3">
      <c r="A625" t="s">
        <v>8</v>
      </c>
      <c r="B625" t="s">
        <v>9</v>
      </c>
      <c r="C625" s="6">
        <v>30</v>
      </c>
    </row>
    <row r="628" spans="1:4" ht="28.8" x14ac:dyDescent="0.3">
      <c r="A628" s="1" t="s">
        <v>0</v>
      </c>
      <c r="B628" s="2" t="s">
        <v>1</v>
      </c>
      <c r="C628" s="2" t="s">
        <v>2</v>
      </c>
      <c r="D628" s="2" t="s">
        <v>3</v>
      </c>
    </row>
    <row r="629" spans="1:4" x14ac:dyDescent="0.3">
      <c r="A629" s="3" t="s">
        <v>4</v>
      </c>
      <c r="B629" s="1">
        <v>94105.38</v>
      </c>
      <c r="C629" s="1">
        <v>94337.74</v>
      </c>
      <c r="D629" s="1">
        <v>23800</v>
      </c>
    </row>
    <row r="630" spans="1:4" x14ac:dyDescent="0.3">
      <c r="A630" s="49" t="s">
        <v>10</v>
      </c>
      <c r="B630" s="50"/>
      <c r="C630" s="51"/>
      <c r="D630" s="1">
        <f>B629-D629</f>
        <v>70305.38</v>
      </c>
    </row>
    <row r="632" spans="1:4" ht="28.8" x14ac:dyDescent="0.3">
      <c r="A632" s="60" t="s">
        <v>37</v>
      </c>
      <c r="B632" s="51"/>
      <c r="C632" s="21" t="s">
        <v>41</v>
      </c>
      <c r="D632" s="3"/>
    </row>
    <row r="633" spans="1:4" x14ac:dyDescent="0.3">
      <c r="A633" s="60" t="s">
        <v>38</v>
      </c>
      <c r="B633" s="51"/>
      <c r="C633" s="1">
        <v>0</v>
      </c>
      <c r="D633" s="1"/>
    </row>
    <row r="634" spans="1:4" x14ac:dyDescent="0.3">
      <c r="A634" s="52"/>
      <c r="B634" s="51"/>
      <c r="C634" s="1"/>
      <c r="D634" s="1"/>
    </row>
    <row r="635" spans="1:4" x14ac:dyDescent="0.3">
      <c r="A635" s="52"/>
      <c r="B635" s="51"/>
      <c r="C635" s="1"/>
      <c r="D635" s="1"/>
    </row>
    <row r="636" spans="1:4" x14ac:dyDescent="0.3">
      <c r="A636" s="60" t="s">
        <v>40</v>
      </c>
      <c r="B636" s="51"/>
      <c r="C636" s="1">
        <v>0</v>
      </c>
      <c r="D636" s="1"/>
    </row>
    <row r="637" spans="1:4" x14ac:dyDescent="0.3">
      <c r="A637" s="52" t="s">
        <v>158</v>
      </c>
      <c r="B637" s="51"/>
      <c r="C637" s="1">
        <f>19900+1900</f>
        <v>21800</v>
      </c>
      <c r="D637" s="1"/>
    </row>
    <row r="638" spans="1:4" x14ac:dyDescent="0.3">
      <c r="A638" s="52" t="s">
        <v>121</v>
      </c>
      <c r="B638" s="51"/>
      <c r="C638" s="1">
        <f>300+200</f>
        <v>500</v>
      </c>
      <c r="D638" s="1"/>
    </row>
    <row r="639" spans="1:4" x14ac:dyDescent="0.3">
      <c r="A639" s="61" t="s">
        <v>47</v>
      </c>
      <c r="B639" s="51"/>
      <c r="C639" s="1">
        <v>0</v>
      </c>
      <c r="D639" s="1"/>
    </row>
    <row r="640" spans="1:4" x14ac:dyDescent="0.3">
      <c r="A640" s="52" t="s">
        <v>49</v>
      </c>
      <c r="B640" s="51"/>
      <c r="C640" s="1">
        <v>600</v>
      </c>
      <c r="D640" s="1"/>
    </row>
    <row r="641" spans="1:4" x14ac:dyDescent="0.3">
      <c r="A641" s="52" t="s">
        <v>64</v>
      </c>
      <c r="B641" s="51"/>
      <c r="C641" s="1">
        <v>300</v>
      </c>
      <c r="D641" s="1"/>
    </row>
    <row r="642" spans="1:4" x14ac:dyDescent="0.3">
      <c r="A642" s="56" t="s">
        <v>52</v>
      </c>
      <c r="B642" s="57"/>
      <c r="C642" s="1">
        <v>0</v>
      </c>
      <c r="D642" s="1"/>
    </row>
    <row r="643" spans="1:4" x14ac:dyDescent="0.3">
      <c r="A643" s="52" t="s">
        <v>53</v>
      </c>
      <c r="B643" s="51"/>
      <c r="C643" s="1">
        <v>600</v>
      </c>
      <c r="D643" s="1"/>
    </row>
    <row r="644" spans="1:4" x14ac:dyDescent="0.3">
      <c r="A644" s="59" t="s">
        <v>42</v>
      </c>
      <c r="B644" s="51"/>
      <c r="C644" s="3">
        <f>SUM(C633:C643)</f>
        <v>23800</v>
      </c>
      <c r="D644" s="1"/>
    </row>
    <row r="645" spans="1:4" x14ac:dyDescent="0.3">
      <c r="A645" s="14"/>
      <c r="B645" s="14"/>
      <c r="C645" s="14"/>
      <c r="D645" s="14"/>
    </row>
    <row r="646" spans="1:4" x14ac:dyDescent="0.3">
      <c r="A646" t="s">
        <v>11</v>
      </c>
    </row>
    <row r="647" spans="1:4" x14ac:dyDescent="0.3">
      <c r="A647" t="s">
        <v>12</v>
      </c>
      <c r="B647" t="s">
        <v>13</v>
      </c>
    </row>
    <row r="649" spans="1:4" ht="15.6" x14ac:dyDescent="0.3">
      <c r="B649" s="4" t="s">
        <v>5</v>
      </c>
      <c r="C649" s="4"/>
    </row>
    <row r="650" spans="1:4" ht="15.6" x14ac:dyDescent="0.3">
      <c r="B650" s="4" t="s">
        <v>6</v>
      </c>
      <c r="C650" s="4"/>
    </row>
    <row r="651" spans="1:4" x14ac:dyDescent="0.3">
      <c r="A651" s="5" t="s">
        <v>7</v>
      </c>
      <c r="B651" s="5"/>
      <c r="C651" s="5"/>
      <c r="D651" s="5"/>
    </row>
    <row r="652" spans="1:4" x14ac:dyDescent="0.3">
      <c r="A652" s="5"/>
      <c r="B652" s="5" t="s">
        <v>30</v>
      </c>
      <c r="C652" s="5"/>
      <c r="D652" s="5"/>
    </row>
    <row r="653" spans="1:4" x14ac:dyDescent="0.3">
      <c r="A653" t="s">
        <v>8</v>
      </c>
      <c r="B653" t="s">
        <v>9</v>
      </c>
      <c r="C653" s="6">
        <v>34</v>
      </c>
    </row>
    <row r="656" spans="1:4" ht="28.8" x14ac:dyDescent="0.3">
      <c r="A656" s="1" t="s">
        <v>0</v>
      </c>
      <c r="B656" s="2" t="s">
        <v>1</v>
      </c>
      <c r="C656" s="2" t="s">
        <v>2</v>
      </c>
      <c r="D656" s="2" t="s">
        <v>3</v>
      </c>
    </row>
    <row r="657" spans="1:4" x14ac:dyDescent="0.3">
      <c r="A657" s="3" t="s">
        <v>4</v>
      </c>
      <c r="B657" s="1">
        <v>49398.48</v>
      </c>
      <c r="C657" s="1">
        <v>49214.68</v>
      </c>
      <c r="D657" s="1">
        <v>37800</v>
      </c>
    </row>
    <row r="658" spans="1:4" x14ac:dyDescent="0.3">
      <c r="A658" s="49" t="s">
        <v>14</v>
      </c>
      <c r="B658" s="50"/>
      <c r="C658" s="51"/>
      <c r="D658" s="1">
        <f>B657-D657</f>
        <v>11598.480000000003</v>
      </c>
    </row>
    <row r="660" spans="1:4" ht="28.8" x14ac:dyDescent="0.3">
      <c r="A660" s="60" t="s">
        <v>37</v>
      </c>
      <c r="B660" s="51"/>
      <c r="C660" s="21" t="s">
        <v>41</v>
      </c>
      <c r="D660" s="3"/>
    </row>
    <row r="661" spans="1:4" x14ac:dyDescent="0.3">
      <c r="A661" s="60" t="s">
        <v>38</v>
      </c>
      <c r="B661" s="51"/>
      <c r="C661" s="1">
        <v>0</v>
      </c>
      <c r="D661" s="1"/>
    </row>
    <row r="662" spans="1:4" x14ac:dyDescent="0.3">
      <c r="A662" s="52" t="s">
        <v>159</v>
      </c>
      <c r="B662" s="51"/>
      <c r="C662" s="1">
        <v>3400</v>
      </c>
      <c r="D662" s="1"/>
    </row>
    <row r="663" spans="1:4" x14ac:dyDescent="0.3">
      <c r="A663" s="52" t="s">
        <v>39</v>
      </c>
      <c r="B663" s="51"/>
      <c r="C663" s="1">
        <f>3400+1700+5400+1700+4000+2000</f>
        <v>18200</v>
      </c>
      <c r="D663" s="1"/>
    </row>
    <row r="664" spans="1:4" x14ac:dyDescent="0.3">
      <c r="A664" s="66" t="s">
        <v>162</v>
      </c>
      <c r="B664" s="65"/>
      <c r="C664" s="1">
        <v>7800</v>
      </c>
      <c r="D664" s="1"/>
    </row>
    <row r="665" spans="1:4" x14ac:dyDescent="0.3">
      <c r="A665" s="60" t="s">
        <v>40</v>
      </c>
      <c r="B665" s="51"/>
      <c r="C665" s="1">
        <v>0</v>
      </c>
      <c r="D665" s="1"/>
    </row>
    <row r="666" spans="1:4" x14ac:dyDescent="0.3">
      <c r="A666" s="52" t="s">
        <v>154</v>
      </c>
      <c r="B666" s="51"/>
      <c r="C666" s="1">
        <v>1700</v>
      </c>
      <c r="D666" s="1"/>
    </row>
    <row r="667" spans="1:4" x14ac:dyDescent="0.3">
      <c r="A667" s="52" t="s">
        <v>160</v>
      </c>
      <c r="B667" s="51"/>
      <c r="C667" s="1">
        <v>1700</v>
      </c>
      <c r="D667" s="1"/>
    </row>
    <row r="668" spans="1:4" x14ac:dyDescent="0.3">
      <c r="A668" s="61" t="s">
        <v>47</v>
      </c>
      <c r="B668" s="51"/>
      <c r="C668" s="1">
        <v>0</v>
      </c>
      <c r="D668" s="1"/>
    </row>
    <row r="669" spans="1:4" x14ac:dyDescent="0.3">
      <c r="A669" s="52" t="s">
        <v>127</v>
      </c>
      <c r="B669" s="51"/>
      <c r="C669" s="1">
        <f>600+1400</f>
        <v>2000</v>
      </c>
      <c r="D669" s="1"/>
    </row>
    <row r="670" spans="1:4" x14ac:dyDescent="0.3">
      <c r="A670" s="52" t="s">
        <v>161</v>
      </c>
      <c r="B670" s="51"/>
      <c r="C670" s="1">
        <v>200</v>
      </c>
      <c r="D670" s="1"/>
    </row>
    <row r="671" spans="1:4" x14ac:dyDescent="0.3">
      <c r="A671" s="56" t="s">
        <v>52</v>
      </c>
      <c r="B671" s="57"/>
      <c r="C671" s="1">
        <v>0</v>
      </c>
      <c r="D671" s="1"/>
    </row>
    <row r="672" spans="1:4" x14ac:dyDescent="0.3">
      <c r="A672" s="52" t="s">
        <v>53</v>
      </c>
      <c r="B672" s="51"/>
      <c r="C672" s="1">
        <f>1700+1100</f>
        <v>2800</v>
      </c>
      <c r="D672" s="1"/>
    </row>
    <row r="673" spans="1:4" x14ac:dyDescent="0.3">
      <c r="A673" s="59" t="s">
        <v>42</v>
      </c>
      <c r="B673" s="51"/>
      <c r="C673" s="3">
        <f>SUM(C661:C672)</f>
        <v>37800</v>
      </c>
      <c r="D673" s="1"/>
    </row>
    <row r="674" spans="1:4" x14ac:dyDescent="0.3">
      <c r="A674" s="14"/>
      <c r="B674" s="14"/>
      <c r="C674" s="14"/>
      <c r="D674" s="14"/>
    </row>
    <row r="675" spans="1:4" x14ac:dyDescent="0.3">
      <c r="A675" t="s">
        <v>11</v>
      </c>
    </row>
    <row r="676" spans="1:4" x14ac:dyDescent="0.3">
      <c r="A676" t="s">
        <v>12</v>
      </c>
      <c r="B676" t="s">
        <v>13</v>
      </c>
    </row>
  </sheetData>
  <mergeCells count="335">
    <mergeCell ref="A74:B74"/>
    <mergeCell ref="A499:B499"/>
    <mergeCell ref="A17:C17"/>
    <mergeCell ref="A87:C87"/>
    <mergeCell ref="A115:C115"/>
    <mergeCell ref="A144:C144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93:B93"/>
    <mergeCell ref="A94:B94"/>
    <mergeCell ref="A95:B95"/>
    <mergeCell ref="A96:B96"/>
    <mergeCell ref="A97:B97"/>
    <mergeCell ref="A23:B23"/>
    <mergeCell ref="A71:B71"/>
    <mergeCell ref="A72:B72"/>
    <mergeCell ref="A73:B73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153:B153"/>
    <mergeCell ref="A154:B154"/>
    <mergeCell ref="A203:C203"/>
    <mergeCell ref="A234:C234"/>
    <mergeCell ref="A266:C266"/>
    <mergeCell ref="A173:C173"/>
    <mergeCell ref="A155:B155"/>
    <mergeCell ref="A156:B156"/>
    <mergeCell ref="A157:B157"/>
    <mergeCell ref="A158:B158"/>
    <mergeCell ref="A175:B175"/>
    <mergeCell ref="A176:B176"/>
    <mergeCell ref="A177:B177"/>
    <mergeCell ref="A280:B280"/>
    <mergeCell ref="A89:B89"/>
    <mergeCell ref="A498:B498"/>
    <mergeCell ref="A66:B66"/>
    <mergeCell ref="A65:B65"/>
    <mergeCell ref="A67:B67"/>
    <mergeCell ref="A68:B68"/>
    <mergeCell ref="A69:B69"/>
    <mergeCell ref="A70:B70"/>
    <mergeCell ref="A30:B30"/>
    <mergeCell ref="A31:B31"/>
    <mergeCell ref="A62:B62"/>
    <mergeCell ref="A63:B63"/>
    <mergeCell ref="A64:B64"/>
    <mergeCell ref="A60:C60"/>
    <mergeCell ref="A101:B101"/>
    <mergeCell ref="A268:B268"/>
    <mergeCell ref="A128:B128"/>
    <mergeCell ref="A129:B129"/>
    <mergeCell ref="A146:B146"/>
    <mergeCell ref="A147:B147"/>
    <mergeCell ref="A148:B148"/>
    <mergeCell ref="A149:B149"/>
    <mergeCell ref="A150:B150"/>
    <mergeCell ref="A151:B151"/>
    <mergeCell ref="A152:B152"/>
    <mergeCell ref="A90:B90"/>
    <mergeCell ref="A91:B91"/>
    <mergeCell ref="A92:B92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98:B98"/>
    <mergeCell ref="A99:B99"/>
    <mergeCell ref="A100:B100"/>
    <mergeCell ref="A181:B181"/>
    <mergeCell ref="A182:B182"/>
    <mergeCell ref="A183:B183"/>
    <mergeCell ref="A184:B184"/>
    <mergeCell ref="A185:B185"/>
    <mergeCell ref="A178:B178"/>
    <mergeCell ref="A179:B179"/>
    <mergeCell ref="A180:B180"/>
    <mergeCell ref="A208:B208"/>
    <mergeCell ref="A209:B209"/>
    <mergeCell ref="A210:B210"/>
    <mergeCell ref="A211:B211"/>
    <mergeCell ref="A212:B212"/>
    <mergeCell ref="A186:B186"/>
    <mergeCell ref="A187:B187"/>
    <mergeCell ref="A205:B205"/>
    <mergeCell ref="A206:B206"/>
    <mergeCell ref="A207:B207"/>
    <mergeCell ref="A236:B236"/>
    <mergeCell ref="A237:B237"/>
    <mergeCell ref="A238:B238"/>
    <mergeCell ref="A239:B239"/>
    <mergeCell ref="A240:B240"/>
    <mergeCell ref="A213:B213"/>
    <mergeCell ref="A214:B214"/>
    <mergeCell ref="A215:B215"/>
    <mergeCell ref="A216:B216"/>
    <mergeCell ref="A217:B217"/>
    <mergeCell ref="A248:B248"/>
    <mergeCell ref="A249:B249"/>
    <mergeCell ref="A250:B250"/>
    <mergeCell ref="A296:B296"/>
    <mergeCell ref="A297:B297"/>
    <mergeCell ref="A241:B241"/>
    <mergeCell ref="A242:B242"/>
    <mergeCell ref="A245:B245"/>
    <mergeCell ref="A246:B246"/>
    <mergeCell ref="A247:B247"/>
    <mergeCell ref="A243:B243"/>
    <mergeCell ref="A244:B244"/>
    <mergeCell ref="A294:C294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325:B325"/>
    <mergeCell ref="A326:B326"/>
    <mergeCell ref="A327:B327"/>
    <mergeCell ref="A328:B328"/>
    <mergeCell ref="A329:B329"/>
    <mergeCell ref="A308:B308"/>
    <mergeCell ref="A320:B320"/>
    <mergeCell ref="A321:B321"/>
    <mergeCell ref="A322:B322"/>
    <mergeCell ref="A323:B323"/>
    <mergeCell ref="A318:C318"/>
    <mergeCell ref="A324:B324"/>
    <mergeCell ref="A360:B360"/>
    <mergeCell ref="A375:B375"/>
    <mergeCell ref="A376:B376"/>
    <mergeCell ref="A377:B377"/>
    <mergeCell ref="A378:B378"/>
    <mergeCell ref="A330:B330"/>
    <mergeCell ref="A331:B331"/>
    <mergeCell ref="A332:B332"/>
    <mergeCell ref="A333:B333"/>
    <mergeCell ref="A348:B348"/>
    <mergeCell ref="A346:C346"/>
    <mergeCell ref="A373:C373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84:B384"/>
    <mergeCell ref="A385:B385"/>
    <mergeCell ref="A386:B386"/>
    <mergeCell ref="A387:B387"/>
    <mergeCell ref="A402:B402"/>
    <mergeCell ref="A379:B379"/>
    <mergeCell ref="A380:B380"/>
    <mergeCell ref="A381:B381"/>
    <mergeCell ref="A382:B382"/>
    <mergeCell ref="A383:B383"/>
    <mergeCell ref="A400:C400"/>
    <mergeCell ref="A409:B409"/>
    <mergeCell ref="A410:B410"/>
    <mergeCell ref="A411:B411"/>
    <mergeCell ref="A412:B412"/>
    <mergeCell ref="A413:B413"/>
    <mergeCell ref="A403:B403"/>
    <mergeCell ref="A404:B404"/>
    <mergeCell ref="A405:B405"/>
    <mergeCell ref="A407:B407"/>
    <mergeCell ref="A408:B408"/>
    <mergeCell ref="A406:B406"/>
    <mergeCell ref="A434:B434"/>
    <mergeCell ref="A436:B436"/>
    <mergeCell ref="A437:B437"/>
    <mergeCell ref="A438:B438"/>
    <mergeCell ref="A439:B439"/>
    <mergeCell ref="A414:B414"/>
    <mergeCell ref="A415:B415"/>
    <mergeCell ref="A431:B431"/>
    <mergeCell ref="A432:B432"/>
    <mergeCell ref="A433:B433"/>
    <mergeCell ref="A429:C429"/>
    <mergeCell ref="A435:B435"/>
    <mergeCell ref="A460:B460"/>
    <mergeCell ref="A461:B461"/>
    <mergeCell ref="A462:B462"/>
    <mergeCell ref="A463:B463"/>
    <mergeCell ref="A465:B465"/>
    <mergeCell ref="A440:B440"/>
    <mergeCell ref="A441:B441"/>
    <mergeCell ref="A442:B442"/>
    <mergeCell ref="A443:B443"/>
    <mergeCell ref="A444:B444"/>
    <mergeCell ref="A458:C458"/>
    <mergeCell ref="A464:B464"/>
    <mergeCell ref="A472:B472"/>
    <mergeCell ref="A473:B473"/>
    <mergeCell ref="A474:B474"/>
    <mergeCell ref="A488:B488"/>
    <mergeCell ref="A489:B489"/>
    <mergeCell ref="A466:B466"/>
    <mergeCell ref="A467:B467"/>
    <mergeCell ref="A469:B469"/>
    <mergeCell ref="A470:B470"/>
    <mergeCell ref="A471:B471"/>
    <mergeCell ref="A468:B468"/>
    <mergeCell ref="A486:C486"/>
    <mergeCell ref="A500:B500"/>
    <mergeCell ref="A515:B515"/>
    <mergeCell ref="A516:B516"/>
    <mergeCell ref="A517:B517"/>
    <mergeCell ref="A545:B545"/>
    <mergeCell ref="A546:B546"/>
    <mergeCell ref="A547:B547"/>
    <mergeCell ref="A548:B548"/>
    <mergeCell ref="A549:B549"/>
    <mergeCell ref="A525:B525"/>
    <mergeCell ref="A526:B526"/>
    <mergeCell ref="A527:B527"/>
    <mergeCell ref="A528:B528"/>
    <mergeCell ref="A529:B529"/>
    <mergeCell ref="A513:C513"/>
    <mergeCell ref="A543:C543"/>
    <mergeCell ref="A518:B518"/>
    <mergeCell ref="A521:B521"/>
    <mergeCell ref="A522:B522"/>
    <mergeCell ref="A523:B523"/>
    <mergeCell ref="A524:B524"/>
    <mergeCell ref="A519:B519"/>
    <mergeCell ref="A520:B520"/>
    <mergeCell ref="A557:B557"/>
    <mergeCell ref="A558:B558"/>
    <mergeCell ref="A559:B559"/>
    <mergeCell ref="A576:B576"/>
    <mergeCell ref="A577:B577"/>
    <mergeCell ref="A550:B550"/>
    <mergeCell ref="A551:B551"/>
    <mergeCell ref="A554:B554"/>
    <mergeCell ref="A555:B555"/>
    <mergeCell ref="A556:B556"/>
    <mergeCell ref="A553:B553"/>
    <mergeCell ref="A552:B552"/>
    <mergeCell ref="A574:C57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609:B609"/>
    <mergeCell ref="A610:B610"/>
    <mergeCell ref="A611:B611"/>
    <mergeCell ref="A612:B612"/>
    <mergeCell ref="A613:B613"/>
    <mergeCell ref="A590:B590"/>
    <mergeCell ref="A605:B605"/>
    <mergeCell ref="A606:B606"/>
    <mergeCell ref="A607:B607"/>
    <mergeCell ref="A608:B608"/>
    <mergeCell ref="A603:C603"/>
    <mergeCell ref="A642:B642"/>
    <mergeCell ref="A633:B633"/>
    <mergeCell ref="A634:B634"/>
    <mergeCell ref="A635:B635"/>
    <mergeCell ref="A636:B636"/>
    <mergeCell ref="A637:B637"/>
    <mergeCell ref="A671:B671"/>
    <mergeCell ref="A672:B672"/>
    <mergeCell ref="A673:B673"/>
    <mergeCell ref="A663:B663"/>
    <mergeCell ref="A665:B665"/>
    <mergeCell ref="A666:B666"/>
    <mergeCell ref="A667:B667"/>
    <mergeCell ref="A668:B668"/>
    <mergeCell ref="A643:B643"/>
    <mergeCell ref="A644:B644"/>
    <mergeCell ref="A660:B660"/>
    <mergeCell ref="A661:B661"/>
    <mergeCell ref="A662:B662"/>
    <mergeCell ref="A664:B664"/>
    <mergeCell ref="A669:B669"/>
    <mergeCell ref="A670:B670"/>
    <mergeCell ref="A658:C658"/>
    <mergeCell ref="A614:B614"/>
    <mergeCell ref="A615:B615"/>
    <mergeCell ref="A616:B616"/>
    <mergeCell ref="A617:B617"/>
    <mergeCell ref="A632:B632"/>
    <mergeCell ref="A638:B638"/>
    <mergeCell ref="A639:B639"/>
    <mergeCell ref="A640:B640"/>
    <mergeCell ref="A641:B641"/>
    <mergeCell ref="A630:C630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41"/>
  <sheetViews>
    <sheetView topLeftCell="A328" workbookViewId="0">
      <selection activeCell="E342" sqref="E342"/>
    </sheetView>
  </sheetViews>
  <sheetFormatPr defaultRowHeight="14.4" x14ac:dyDescent="0.3"/>
  <cols>
    <col min="2" max="2" width="29.77734375" customWidth="1"/>
    <col min="3" max="3" width="15.109375" customWidth="1"/>
    <col min="4" max="4" width="12.5546875" customWidth="1"/>
    <col min="5" max="5" width="13.77734375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166</v>
      </c>
      <c r="D6" s="6" t="s">
        <v>24</v>
      </c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v>61646.28</v>
      </c>
      <c r="D10" s="1">
        <v>52957.93</v>
      </c>
      <c r="E10" s="1">
        <v>34107.879999999997</v>
      </c>
    </row>
    <row r="11" spans="2:5" x14ac:dyDescent="0.3">
      <c r="B11" s="49" t="s">
        <v>10</v>
      </c>
      <c r="C11" s="50"/>
      <c r="D11" s="51"/>
      <c r="E11" s="1">
        <f>C10-E10</f>
        <v>27538.400000000001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ht="15.6" x14ac:dyDescent="0.3">
      <c r="B15" s="52" t="s">
        <v>209</v>
      </c>
      <c r="C15" s="51"/>
      <c r="D15" s="32">
        <v>3452.95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60" t="s">
        <v>40</v>
      </c>
      <c r="C17" s="51"/>
      <c r="D17" s="1">
        <v>0</v>
      </c>
      <c r="E17" s="1"/>
    </row>
    <row r="18" spans="2:5" x14ac:dyDescent="0.3">
      <c r="B18" s="52" t="s">
        <v>207</v>
      </c>
      <c r="C18" s="51"/>
      <c r="D18" s="27">
        <v>22149.23</v>
      </c>
      <c r="E18" s="1"/>
    </row>
    <row r="19" spans="2:5" ht="24.6" customHeight="1" x14ac:dyDescent="0.3">
      <c r="B19" s="52" t="s">
        <v>210</v>
      </c>
      <c r="C19" s="51"/>
      <c r="D19" s="32">
        <v>4215.59</v>
      </c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x14ac:dyDescent="0.3">
      <c r="B21" s="52" t="s">
        <v>208</v>
      </c>
      <c r="C21" s="51"/>
      <c r="D21" s="27">
        <v>4147.08</v>
      </c>
      <c r="E21" s="1"/>
    </row>
    <row r="22" spans="2:5" x14ac:dyDescent="0.3">
      <c r="B22" s="52" t="s">
        <v>204</v>
      </c>
      <c r="C22" s="51"/>
      <c r="D22" s="27">
        <v>143.03</v>
      </c>
      <c r="E22" s="1"/>
    </row>
    <row r="23" spans="2:5" x14ac:dyDescent="0.3">
      <c r="B23" s="52"/>
      <c r="C23" s="51"/>
      <c r="D23" s="1">
        <v>0</v>
      </c>
      <c r="E23" s="1"/>
    </row>
    <row r="24" spans="2:5" x14ac:dyDescent="0.3">
      <c r="B24" s="56" t="s">
        <v>52</v>
      </c>
      <c r="C24" s="57"/>
      <c r="D24" s="1">
        <v>0</v>
      </c>
      <c r="E24" s="1"/>
    </row>
    <row r="25" spans="2:5" x14ac:dyDescent="0.3">
      <c r="B25" s="52" t="s">
        <v>53</v>
      </c>
      <c r="C25" s="51"/>
      <c r="D25" s="1"/>
      <c r="E25" s="1"/>
    </row>
    <row r="26" spans="2:5" x14ac:dyDescent="0.3">
      <c r="B26" s="52"/>
      <c r="C26" s="51"/>
      <c r="D26" s="1">
        <v>0</v>
      </c>
      <c r="E26" s="1"/>
    </row>
    <row r="27" spans="2:5" x14ac:dyDescent="0.3">
      <c r="B27" s="59" t="s">
        <v>42</v>
      </c>
      <c r="C27" s="51"/>
      <c r="D27" s="3">
        <f>SUM(D14:D26)</f>
        <v>34107.879999999997</v>
      </c>
      <c r="E27" s="1"/>
    </row>
    <row r="28" spans="2:5" x14ac:dyDescent="0.3">
      <c r="B28" s="14"/>
      <c r="C28" s="14"/>
      <c r="D28" s="14"/>
      <c r="E28" s="14"/>
    </row>
    <row r="29" spans="2:5" x14ac:dyDescent="0.3">
      <c r="B29" t="s">
        <v>11</v>
      </c>
    </row>
    <row r="30" spans="2:5" x14ac:dyDescent="0.3">
      <c r="B30" t="s">
        <v>12</v>
      </c>
      <c r="C30" t="s">
        <v>13</v>
      </c>
    </row>
    <row r="33" spans="2:5" ht="15.6" x14ac:dyDescent="0.3">
      <c r="C33" s="4" t="s">
        <v>6</v>
      </c>
      <c r="D33" s="4"/>
    </row>
    <row r="34" spans="2:5" x14ac:dyDescent="0.3">
      <c r="B34" s="5" t="s">
        <v>7</v>
      </c>
      <c r="C34" s="5"/>
      <c r="D34" s="5"/>
      <c r="E34" s="5"/>
    </row>
    <row r="35" spans="2:5" x14ac:dyDescent="0.3">
      <c r="B35" s="5"/>
      <c r="C35" s="5" t="s">
        <v>30</v>
      </c>
      <c r="D35" s="5"/>
      <c r="E35" s="5"/>
    </row>
    <row r="36" spans="2:5" x14ac:dyDescent="0.3">
      <c r="B36" t="s">
        <v>163</v>
      </c>
      <c r="C36" t="s">
        <v>166</v>
      </c>
      <c r="D36" s="6">
        <v>2</v>
      </c>
    </row>
    <row r="39" spans="2:5" ht="28.8" x14ac:dyDescent="0.3">
      <c r="B39" s="1" t="s">
        <v>0</v>
      </c>
      <c r="C39" s="2" t="s">
        <v>1</v>
      </c>
      <c r="D39" s="2" t="s">
        <v>2</v>
      </c>
      <c r="E39" s="2" t="s">
        <v>3</v>
      </c>
    </row>
    <row r="40" spans="2:5" x14ac:dyDescent="0.3">
      <c r="B40" s="3" t="s">
        <v>4</v>
      </c>
      <c r="C40" s="1">
        <v>2147.1</v>
      </c>
      <c r="D40" s="1">
        <v>1759.73</v>
      </c>
      <c r="E40" s="1">
        <v>14622.67</v>
      </c>
    </row>
    <row r="41" spans="2:5" x14ac:dyDescent="0.3">
      <c r="B41" s="49" t="s">
        <v>10</v>
      </c>
      <c r="C41" s="50"/>
      <c r="D41" s="51"/>
      <c r="E41" s="1">
        <f>C40-E40</f>
        <v>-12475.57</v>
      </c>
    </row>
    <row r="43" spans="2:5" ht="28.8" x14ac:dyDescent="0.3">
      <c r="B43" s="60" t="s">
        <v>37</v>
      </c>
      <c r="C43" s="51"/>
      <c r="D43" s="21" t="s">
        <v>41</v>
      </c>
      <c r="E43" s="3"/>
    </row>
    <row r="44" spans="2:5" x14ac:dyDescent="0.3">
      <c r="B44" s="60" t="s">
        <v>38</v>
      </c>
      <c r="C44" s="51"/>
      <c r="D44" s="1">
        <v>0</v>
      </c>
      <c r="E44" s="1"/>
    </row>
    <row r="45" spans="2:5" ht="15.6" x14ac:dyDescent="0.3">
      <c r="B45" s="52" t="s">
        <v>211</v>
      </c>
      <c r="C45" s="51"/>
      <c r="D45" s="28">
        <v>390.78</v>
      </c>
      <c r="E45" s="1"/>
    </row>
    <row r="46" spans="2:5" x14ac:dyDescent="0.3">
      <c r="B46" s="52"/>
      <c r="C46" s="51"/>
      <c r="D46" s="1">
        <v>0</v>
      </c>
      <c r="E46" s="1"/>
    </row>
    <row r="47" spans="2:5" x14ac:dyDescent="0.3">
      <c r="B47" s="60" t="s">
        <v>40</v>
      </c>
      <c r="C47" s="51"/>
      <c r="D47" s="1">
        <v>0</v>
      </c>
      <c r="E47" s="1"/>
    </row>
    <row r="48" spans="2:5" x14ac:dyDescent="0.3">
      <c r="B48" s="52" t="s">
        <v>212</v>
      </c>
      <c r="C48" s="51"/>
      <c r="D48" s="27">
        <v>1230.8499999999999</v>
      </c>
      <c r="E48" s="1"/>
    </row>
    <row r="49" spans="2:5" x14ac:dyDescent="0.3">
      <c r="B49" s="52"/>
      <c r="C49" s="51"/>
      <c r="D49" s="1">
        <v>0</v>
      </c>
      <c r="E49" s="1"/>
    </row>
    <row r="50" spans="2:5" x14ac:dyDescent="0.3">
      <c r="B50" s="61" t="s">
        <v>47</v>
      </c>
      <c r="C50" s="51"/>
      <c r="D50" s="1">
        <v>0</v>
      </c>
      <c r="E50" s="1"/>
    </row>
    <row r="51" spans="2:5" x14ac:dyDescent="0.3">
      <c r="B51" s="52"/>
      <c r="C51" s="51"/>
      <c r="D51" s="1">
        <v>0</v>
      </c>
      <c r="E51" s="1"/>
    </row>
    <row r="52" spans="2:5" x14ac:dyDescent="0.3">
      <c r="B52" s="52"/>
      <c r="C52" s="51"/>
      <c r="D52" s="1"/>
      <c r="E52" s="1"/>
    </row>
    <row r="53" spans="2:5" x14ac:dyDescent="0.3">
      <c r="B53" s="52"/>
      <c r="C53" s="51"/>
      <c r="D53" s="1">
        <v>0</v>
      </c>
      <c r="E53" s="1"/>
    </row>
    <row r="54" spans="2:5" x14ac:dyDescent="0.3">
      <c r="B54" s="56" t="s">
        <v>52</v>
      </c>
      <c r="C54" s="57"/>
      <c r="D54" s="1">
        <v>0</v>
      </c>
      <c r="E54" s="1"/>
    </row>
    <row r="55" spans="2:5" x14ac:dyDescent="0.3">
      <c r="B55" s="52" t="s">
        <v>53</v>
      </c>
      <c r="C55" s="51"/>
      <c r="D55" s="1"/>
      <c r="E55" s="1"/>
    </row>
    <row r="56" spans="2:5" x14ac:dyDescent="0.3">
      <c r="B56" s="52" t="s">
        <v>213</v>
      </c>
      <c r="C56" s="51"/>
      <c r="D56" s="27">
        <v>13001.04</v>
      </c>
      <c r="E56" s="1"/>
    </row>
    <row r="57" spans="2:5" x14ac:dyDescent="0.3">
      <c r="B57" s="59" t="s">
        <v>42</v>
      </c>
      <c r="C57" s="51"/>
      <c r="D57" s="3">
        <f>SUM(D44:D56)</f>
        <v>14622.67</v>
      </c>
      <c r="E57" s="1"/>
    </row>
    <row r="58" spans="2:5" x14ac:dyDescent="0.3">
      <c r="B58" s="14"/>
      <c r="C58" s="14"/>
      <c r="D58" s="14"/>
      <c r="E58" s="14"/>
    </row>
    <row r="59" spans="2:5" x14ac:dyDescent="0.3">
      <c r="B59" t="s">
        <v>11</v>
      </c>
    </row>
    <row r="60" spans="2:5" x14ac:dyDescent="0.3">
      <c r="B60" t="s">
        <v>12</v>
      </c>
      <c r="C60" t="s">
        <v>13</v>
      </c>
    </row>
    <row r="64" spans="2:5" ht="15.6" x14ac:dyDescent="0.3">
      <c r="C64" s="4" t="s">
        <v>6</v>
      </c>
      <c r="D64" s="4"/>
    </row>
    <row r="65" spans="2:5" x14ac:dyDescent="0.3">
      <c r="B65" s="5" t="s">
        <v>7</v>
      </c>
      <c r="C65" s="5"/>
      <c r="D65" s="5"/>
      <c r="E65" s="5"/>
    </row>
    <row r="66" spans="2:5" x14ac:dyDescent="0.3">
      <c r="B66" s="5"/>
      <c r="C66" s="5" t="s">
        <v>30</v>
      </c>
      <c r="D66" s="5"/>
      <c r="E66" s="5"/>
    </row>
    <row r="67" spans="2:5" x14ac:dyDescent="0.3">
      <c r="B67" t="s">
        <v>163</v>
      </c>
      <c r="C67" t="s">
        <v>166</v>
      </c>
      <c r="D67" s="6">
        <v>3</v>
      </c>
    </row>
    <row r="70" spans="2:5" ht="28.8" x14ac:dyDescent="0.3">
      <c r="B70" s="1" t="s">
        <v>0</v>
      </c>
      <c r="C70" s="2" t="s">
        <v>1</v>
      </c>
      <c r="D70" s="2" t="s">
        <v>2</v>
      </c>
      <c r="E70" s="2" t="s">
        <v>3</v>
      </c>
    </row>
    <row r="71" spans="2:5" x14ac:dyDescent="0.3">
      <c r="B71" s="3" t="s">
        <v>4</v>
      </c>
      <c r="C71" s="1">
        <v>23634.06</v>
      </c>
      <c r="D71" s="1">
        <v>18838.3</v>
      </c>
      <c r="E71" s="1">
        <v>65187.79</v>
      </c>
    </row>
    <row r="72" spans="2:5" x14ac:dyDescent="0.3">
      <c r="B72" s="49" t="s">
        <v>10</v>
      </c>
      <c r="C72" s="50"/>
      <c r="D72" s="51"/>
      <c r="E72" s="1">
        <f>C71-E71</f>
        <v>-41553.729999999996</v>
      </c>
    </row>
    <row r="74" spans="2:5" ht="28.8" x14ac:dyDescent="0.3">
      <c r="B74" s="60" t="s">
        <v>37</v>
      </c>
      <c r="C74" s="51"/>
      <c r="D74" s="21" t="s">
        <v>41</v>
      </c>
      <c r="E74" s="3"/>
    </row>
    <row r="75" spans="2:5" x14ac:dyDescent="0.3">
      <c r="B75" s="60" t="s">
        <v>38</v>
      </c>
      <c r="C75" s="51"/>
      <c r="D75" s="1">
        <v>0</v>
      </c>
      <c r="E75" s="1"/>
    </row>
    <row r="76" spans="2:5" x14ac:dyDescent="0.3">
      <c r="B76" s="52"/>
      <c r="C76" s="51"/>
      <c r="D76" s="1">
        <v>0</v>
      </c>
      <c r="E76" s="1"/>
    </row>
    <row r="77" spans="2:5" x14ac:dyDescent="0.3">
      <c r="B77" s="52"/>
      <c r="C77" s="51"/>
      <c r="D77" s="1">
        <v>0</v>
      </c>
      <c r="E77" s="1"/>
    </row>
    <row r="78" spans="2:5" x14ac:dyDescent="0.3">
      <c r="B78" s="60" t="s">
        <v>40</v>
      </c>
      <c r="C78" s="51"/>
      <c r="D78" s="1">
        <v>0</v>
      </c>
      <c r="E78" s="1"/>
    </row>
    <row r="79" spans="2:5" x14ac:dyDescent="0.3">
      <c r="B79" s="52"/>
      <c r="C79" s="51"/>
      <c r="D79" s="1">
        <v>0</v>
      </c>
      <c r="E79" s="1"/>
    </row>
    <row r="80" spans="2:5" x14ac:dyDescent="0.3">
      <c r="B80" s="52"/>
      <c r="C80" s="51"/>
      <c r="D80" s="1">
        <v>0</v>
      </c>
      <c r="E80" s="1"/>
    </row>
    <row r="81" spans="2:5" x14ac:dyDescent="0.3">
      <c r="B81" s="61" t="s">
        <v>47</v>
      </c>
      <c r="C81" s="51"/>
      <c r="D81" s="1">
        <v>0</v>
      </c>
      <c r="E81" s="1"/>
    </row>
    <row r="82" spans="2:5" x14ac:dyDescent="0.3">
      <c r="B82" s="52" t="s">
        <v>214</v>
      </c>
      <c r="C82" s="51"/>
      <c r="D82" s="30">
        <v>65187.79</v>
      </c>
      <c r="E82" s="1"/>
    </row>
    <row r="83" spans="2:5" x14ac:dyDescent="0.3">
      <c r="B83" s="52"/>
      <c r="C83" s="51"/>
      <c r="D83" s="1"/>
      <c r="E83" s="1"/>
    </row>
    <row r="84" spans="2:5" x14ac:dyDescent="0.3">
      <c r="B84" s="52"/>
      <c r="C84" s="51"/>
      <c r="D84" s="1">
        <v>0</v>
      </c>
      <c r="E84" s="1"/>
    </row>
    <row r="85" spans="2:5" x14ac:dyDescent="0.3">
      <c r="B85" s="56" t="s">
        <v>52</v>
      </c>
      <c r="C85" s="57"/>
      <c r="D85" s="1">
        <v>0</v>
      </c>
      <c r="E85" s="1"/>
    </row>
    <row r="86" spans="2:5" x14ac:dyDescent="0.3">
      <c r="B86" s="52" t="s">
        <v>53</v>
      </c>
      <c r="C86" s="51"/>
      <c r="D86" s="1"/>
      <c r="E86" s="1"/>
    </row>
    <row r="87" spans="2:5" x14ac:dyDescent="0.3">
      <c r="B87" s="52"/>
      <c r="C87" s="51"/>
      <c r="D87" s="1">
        <v>0</v>
      </c>
      <c r="E87" s="1"/>
    </row>
    <row r="88" spans="2:5" x14ac:dyDescent="0.3">
      <c r="B88" s="59" t="s">
        <v>42</v>
      </c>
      <c r="C88" s="51"/>
      <c r="D88" s="3">
        <f>SUM(D75:D87)</f>
        <v>65187.79</v>
      </c>
      <c r="E88" s="1"/>
    </row>
    <row r="89" spans="2:5" x14ac:dyDescent="0.3">
      <c r="B89" s="14"/>
      <c r="C89" s="14"/>
      <c r="D89" s="14"/>
      <c r="E89" s="14"/>
    </row>
    <row r="90" spans="2:5" x14ac:dyDescent="0.3">
      <c r="B90" t="s">
        <v>11</v>
      </c>
    </row>
    <row r="91" spans="2:5" x14ac:dyDescent="0.3">
      <c r="B91" t="s">
        <v>12</v>
      </c>
      <c r="C91" t="s">
        <v>13</v>
      </c>
    </row>
    <row r="95" spans="2:5" ht="15.6" x14ac:dyDescent="0.3">
      <c r="C95" s="4" t="s">
        <v>6</v>
      </c>
      <c r="D95" s="4"/>
    </row>
    <row r="96" spans="2:5" x14ac:dyDescent="0.3">
      <c r="B96" s="5" t="s">
        <v>7</v>
      </c>
      <c r="C96" s="5"/>
      <c r="D96" s="5"/>
      <c r="E96" s="5"/>
    </row>
    <row r="97" spans="2:5" x14ac:dyDescent="0.3">
      <c r="B97" s="5"/>
      <c r="C97" s="5" t="s">
        <v>30</v>
      </c>
      <c r="D97" s="5"/>
      <c r="E97" s="5"/>
    </row>
    <row r="98" spans="2:5" x14ac:dyDescent="0.3">
      <c r="B98" t="s">
        <v>163</v>
      </c>
      <c r="C98" t="s">
        <v>166</v>
      </c>
      <c r="D98" s="6" t="s">
        <v>26</v>
      </c>
    </row>
    <row r="101" spans="2:5" ht="28.8" x14ac:dyDescent="0.3">
      <c r="B101" s="1" t="s">
        <v>0</v>
      </c>
      <c r="C101" s="2" t="s">
        <v>1</v>
      </c>
      <c r="D101" s="2" t="s">
        <v>2</v>
      </c>
      <c r="E101" s="2" t="s">
        <v>3</v>
      </c>
    </row>
    <row r="102" spans="2:5" x14ac:dyDescent="0.3">
      <c r="B102" s="3" t="s">
        <v>4</v>
      </c>
      <c r="C102" s="1">
        <v>3359.04</v>
      </c>
      <c r="D102" s="1">
        <v>2885.63</v>
      </c>
      <c r="E102" s="1">
        <v>910.77</v>
      </c>
    </row>
    <row r="103" spans="2:5" x14ac:dyDescent="0.3">
      <c r="B103" s="49" t="s">
        <v>10</v>
      </c>
      <c r="C103" s="50"/>
      <c r="D103" s="51"/>
      <c r="E103" s="1">
        <f>C102-E102</f>
        <v>2448.27</v>
      </c>
    </row>
    <row r="105" spans="2:5" ht="28.8" x14ac:dyDescent="0.3">
      <c r="B105" s="60" t="s">
        <v>37</v>
      </c>
      <c r="C105" s="51"/>
      <c r="D105" s="21" t="s">
        <v>41</v>
      </c>
      <c r="E105" s="3"/>
    </row>
    <row r="106" spans="2:5" x14ac:dyDescent="0.3">
      <c r="B106" s="60" t="s">
        <v>38</v>
      </c>
      <c r="C106" s="51"/>
      <c r="D106" s="1">
        <v>0</v>
      </c>
      <c r="E106" s="1"/>
    </row>
    <row r="107" spans="2:5" x14ac:dyDescent="0.3">
      <c r="B107" s="52"/>
      <c r="C107" s="51"/>
      <c r="D107" s="1">
        <v>0</v>
      </c>
      <c r="E107" s="1"/>
    </row>
    <row r="108" spans="2:5" x14ac:dyDescent="0.3">
      <c r="B108" s="52"/>
      <c r="C108" s="51"/>
      <c r="D108" s="1">
        <v>0</v>
      </c>
      <c r="E108" s="1"/>
    </row>
    <row r="109" spans="2:5" x14ac:dyDescent="0.3">
      <c r="B109" s="60" t="s">
        <v>40</v>
      </c>
      <c r="C109" s="51"/>
      <c r="D109" s="1">
        <v>0</v>
      </c>
      <c r="E109" s="1"/>
    </row>
    <row r="110" spans="2:5" x14ac:dyDescent="0.3">
      <c r="B110" s="52"/>
      <c r="C110" s="51"/>
      <c r="D110" s="1">
        <v>0</v>
      </c>
      <c r="E110" s="1"/>
    </row>
    <row r="111" spans="2:5" x14ac:dyDescent="0.3">
      <c r="B111" s="52"/>
      <c r="C111" s="51"/>
      <c r="D111" s="1">
        <v>0</v>
      </c>
      <c r="E111" s="1"/>
    </row>
    <row r="112" spans="2:5" x14ac:dyDescent="0.3">
      <c r="B112" s="61" t="s">
        <v>47</v>
      </c>
      <c r="C112" s="51"/>
      <c r="D112" s="1">
        <v>0</v>
      </c>
      <c r="E112" s="1"/>
    </row>
    <row r="113" spans="2:5" ht="15.6" x14ac:dyDescent="0.3">
      <c r="B113" s="52" t="s">
        <v>215</v>
      </c>
      <c r="C113" s="51"/>
      <c r="D113" s="28">
        <v>440.57</v>
      </c>
      <c r="E113" s="1"/>
    </row>
    <row r="114" spans="2:5" x14ac:dyDescent="0.3">
      <c r="B114" s="52"/>
      <c r="C114" s="51"/>
      <c r="D114" s="1"/>
      <c r="E114" s="1"/>
    </row>
    <row r="115" spans="2:5" x14ac:dyDescent="0.3">
      <c r="B115" s="52"/>
      <c r="C115" s="51"/>
      <c r="D115" s="1">
        <v>0</v>
      </c>
      <c r="E115" s="1"/>
    </row>
    <row r="116" spans="2:5" x14ac:dyDescent="0.3">
      <c r="B116" s="56" t="s">
        <v>52</v>
      </c>
      <c r="C116" s="57"/>
      <c r="D116" s="1">
        <v>0</v>
      </c>
      <c r="E116" s="1"/>
    </row>
    <row r="117" spans="2:5" ht="15.6" x14ac:dyDescent="0.3">
      <c r="B117" s="52" t="s">
        <v>53</v>
      </c>
      <c r="C117" s="51"/>
      <c r="D117" s="28">
        <v>470.2</v>
      </c>
      <c r="E117" s="1"/>
    </row>
    <row r="118" spans="2:5" x14ac:dyDescent="0.3">
      <c r="B118" s="52"/>
      <c r="C118" s="51"/>
      <c r="D118" s="1">
        <v>0</v>
      </c>
      <c r="E118" s="1"/>
    </row>
    <row r="119" spans="2:5" x14ac:dyDescent="0.3">
      <c r="B119" s="59" t="s">
        <v>42</v>
      </c>
      <c r="C119" s="51"/>
      <c r="D119" s="3">
        <f>SUM(D106:D118)</f>
        <v>910.77</v>
      </c>
      <c r="E119" s="1"/>
    </row>
    <row r="120" spans="2:5" x14ac:dyDescent="0.3">
      <c r="B120" s="14"/>
      <c r="C120" s="14"/>
      <c r="D120" s="14"/>
      <c r="E120" s="14"/>
    </row>
    <row r="121" spans="2:5" x14ac:dyDescent="0.3">
      <c r="B121" t="s">
        <v>11</v>
      </c>
    </row>
    <row r="122" spans="2:5" x14ac:dyDescent="0.3">
      <c r="B122" t="s">
        <v>12</v>
      </c>
      <c r="C122" t="s">
        <v>13</v>
      </c>
    </row>
    <row r="126" spans="2:5" ht="15.6" x14ac:dyDescent="0.3">
      <c r="C126" s="4" t="s">
        <v>6</v>
      </c>
      <c r="D126" s="4"/>
    </row>
    <row r="127" spans="2:5" x14ac:dyDescent="0.3">
      <c r="B127" s="5" t="s">
        <v>7</v>
      </c>
      <c r="C127" s="5"/>
      <c r="D127" s="5"/>
      <c r="E127" s="5"/>
    </row>
    <row r="128" spans="2:5" x14ac:dyDescent="0.3">
      <c r="B128" s="5"/>
      <c r="C128" s="5" t="s">
        <v>30</v>
      </c>
      <c r="D128" s="5"/>
      <c r="E128" s="5"/>
    </row>
    <row r="129" spans="2:5" x14ac:dyDescent="0.3">
      <c r="B129" t="s">
        <v>163</v>
      </c>
      <c r="C129" t="s">
        <v>166</v>
      </c>
      <c r="D129" s="6">
        <v>4</v>
      </c>
    </row>
    <row r="132" spans="2:5" ht="28.8" x14ac:dyDescent="0.3">
      <c r="B132" s="1" t="s">
        <v>0</v>
      </c>
      <c r="C132" s="2" t="s">
        <v>1</v>
      </c>
      <c r="D132" s="2" t="s">
        <v>2</v>
      </c>
      <c r="E132" s="2" t="s">
        <v>3</v>
      </c>
    </row>
    <row r="133" spans="2:5" x14ac:dyDescent="0.3">
      <c r="B133" s="3" t="s">
        <v>4</v>
      </c>
      <c r="C133" s="1">
        <v>2112.48</v>
      </c>
      <c r="D133" s="1">
        <v>1978.51</v>
      </c>
      <c r="E133" s="1">
        <v>4456.54</v>
      </c>
    </row>
    <row r="134" spans="2:5" x14ac:dyDescent="0.3">
      <c r="B134" s="49" t="s">
        <v>10</v>
      </c>
      <c r="C134" s="50"/>
      <c r="D134" s="51"/>
      <c r="E134" s="1">
        <f>C133-E133</f>
        <v>-2344.06</v>
      </c>
    </row>
    <row r="136" spans="2:5" ht="28.8" x14ac:dyDescent="0.3">
      <c r="B136" s="60" t="s">
        <v>37</v>
      </c>
      <c r="C136" s="51"/>
      <c r="D136" s="21" t="s">
        <v>41</v>
      </c>
      <c r="E136" s="3"/>
    </row>
    <row r="137" spans="2:5" x14ac:dyDescent="0.3">
      <c r="B137" s="60" t="s">
        <v>38</v>
      </c>
      <c r="C137" s="51"/>
      <c r="D137" s="1">
        <v>0</v>
      </c>
      <c r="E137" s="1"/>
    </row>
    <row r="138" spans="2:5" x14ac:dyDescent="0.3">
      <c r="B138" s="52" t="s">
        <v>216</v>
      </c>
      <c r="C138" s="51"/>
      <c r="D138" s="33">
        <v>3879.48</v>
      </c>
      <c r="E138" s="1"/>
    </row>
    <row r="139" spans="2:5" x14ac:dyDescent="0.3">
      <c r="B139" s="52"/>
      <c r="C139" s="51"/>
      <c r="D139" s="1">
        <v>0</v>
      </c>
      <c r="E139" s="1"/>
    </row>
    <row r="140" spans="2:5" x14ac:dyDescent="0.3">
      <c r="B140" s="60" t="s">
        <v>40</v>
      </c>
      <c r="C140" s="51"/>
      <c r="D140" s="1">
        <v>0</v>
      </c>
      <c r="E140" s="1"/>
    </row>
    <row r="141" spans="2:5" x14ac:dyDescent="0.3">
      <c r="B141" s="52" t="s">
        <v>204</v>
      </c>
      <c r="C141" s="51"/>
      <c r="D141" s="33">
        <v>290.89</v>
      </c>
      <c r="E141" s="1"/>
    </row>
    <row r="142" spans="2:5" x14ac:dyDescent="0.3">
      <c r="B142" s="52"/>
      <c r="C142" s="51"/>
      <c r="D142" s="1">
        <v>0</v>
      </c>
      <c r="E142" s="1"/>
    </row>
    <row r="143" spans="2:5" x14ac:dyDescent="0.3">
      <c r="B143" s="61" t="s">
        <v>47</v>
      </c>
      <c r="C143" s="51"/>
      <c r="D143" s="1">
        <v>0</v>
      </c>
      <c r="E143" s="1"/>
    </row>
    <row r="144" spans="2:5" x14ac:dyDescent="0.3">
      <c r="B144" s="52"/>
      <c r="C144" s="51"/>
      <c r="D144" s="1">
        <v>0</v>
      </c>
      <c r="E144" s="1"/>
    </row>
    <row r="145" spans="2:5" x14ac:dyDescent="0.3">
      <c r="B145" s="52"/>
      <c r="C145" s="51"/>
      <c r="D145" s="1"/>
      <c r="E145" s="1"/>
    </row>
    <row r="146" spans="2:5" x14ac:dyDescent="0.3">
      <c r="B146" s="52"/>
      <c r="C146" s="51"/>
      <c r="D146" s="1">
        <v>0</v>
      </c>
      <c r="E146" s="1"/>
    </row>
    <row r="147" spans="2:5" x14ac:dyDescent="0.3">
      <c r="B147" s="56" t="s">
        <v>52</v>
      </c>
      <c r="C147" s="57"/>
      <c r="D147" s="1">
        <v>0</v>
      </c>
      <c r="E147" s="1"/>
    </row>
    <row r="148" spans="2:5" x14ac:dyDescent="0.3">
      <c r="B148" s="52" t="s">
        <v>53</v>
      </c>
      <c r="C148" s="51"/>
      <c r="D148" s="1"/>
      <c r="E148" s="1"/>
    </row>
    <row r="149" spans="2:5" x14ac:dyDescent="0.3">
      <c r="B149" s="52" t="s">
        <v>217</v>
      </c>
      <c r="C149" s="51"/>
      <c r="D149" s="33">
        <v>286.17</v>
      </c>
      <c r="E149" s="1"/>
    </row>
    <row r="150" spans="2:5" x14ac:dyDescent="0.3">
      <c r="B150" s="59" t="s">
        <v>42</v>
      </c>
      <c r="C150" s="51"/>
      <c r="D150" s="3">
        <f>SUM(D137:D149)</f>
        <v>4456.54</v>
      </c>
      <c r="E150" s="1"/>
    </row>
    <row r="151" spans="2:5" x14ac:dyDescent="0.3">
      <c r="B151" s="14"/>
      <c r="C151" s="14"/>
      <c r="D151" s="14"/>
      <c r="E151" s="14"/>
    </row>
    <row r="152" spans="2:5" x14ac:dyDescent="0.3">
      <c r="B152" t="s">
        <v>11</v>
      </c>
    </row>
    <row r="153" spans="2:5" x14ac:dyDescent="0.3">
      <c r="B153" t="s">
        <v>12</v>
      </c>
      <c r="C153" t="s">
        <v>13</v>
      </c>
    </row>
    <row r="157" spans="2:5" ht="15.6" x14ac:dyDescent="0.3">
      <c r="C157" s="4" t="s">
        <v>6</v>
      </c>
      <c r="D157" s="4"/>
    </row>
    <row r="158" spans="2:5" x14ac:dyDescent="0.3">
      <c r="B158" s="5" t="s">
        <v>7</v>
      </c>
      <c r="C158" s="5"/>
      <c r="D158" s="5"/>
      <c r="E158" s="5"/>
    </row>
    <row r="159" spans="2:5" x14ac:dyDescent="0.3">
      <c r="B159" s="5"/>
      <c r="C159" s="5" t="s">
        <v>30</v>
      </c>
      <c r="D159" s="5"/>
      <c r="E159" s="5"/>
    </row>
    <row r="160" spans="2:5" x14ac:dyDescent="0.3">
      <c r="B160" t="s">
        <v>163</v>
      </c>
      <c r="C160" t="s">
        <v>166</v>
      </c>
      <c r="D160" s="6" t="s">
        <v>167</v>
      </c>
    </row>
    <row r="163" spans="2:5" ht="28.8" x14ac:dyDescent="0.3">
      <c r="B163" s="1" t="s">
        <v>0</v>
      </c>
      <c r="C163" s="2" t="s">
        <v>1</v>
      </c>
      <c r="D163" s="2" t="s">
        <v>2</v>
      </c>
      <c r="E163" s="2" t="s">
        <v>3</v>
      </c>
    </row>
    <row r="164" spans="2:5" x14ac:dyDescent="0.3">
      <c r="B164" s="3" t="s">
        <v>4</v>
      </c>
      <c r="C164" s="1">
        <v>2098.86</v>
      </c>
      <c r="D164" s="1">
        <v>1463.59</v>
      </c>
      <c r="E164" s="1">
        <v>6457.36</v>
      </c>
    </row>
    <row r="165" spans="2:5" x14ac:dyDescent="0.3">
      <c r="B165" s="49" t="s">
        <v>10</v>
      </c>
      <c r="C165" s="50"/>
      <c r="D165" s="51"/>
      <c r="E165" s="1">
        <f>C164-E164</f>
        <v>-4358.5</v>
      </c>
    </row>
    <row r="167" spans="2:5" ht="28.8" x14ac:dyDescent="0.3">
      <c r="B167" s="60" t="s">
        <v>37</v>
      </c>
      <c r="C167" s="51"/>
      <c r="D167" s="21" t="s">
        <v>41</v>
      </c>
      <c r="E167" s="3"/>
    </row>
    <row r="168" spans="2:5" x14ac:dyDescent="0.3">
      <c r="B168" s="60" t="s">
        <v>38</v>
      </c>
      <c r="C168" s="51"/>
      <c r="D168" s="1">
        <v>0</v>
      </c>
      <c r="E168" s="1"/>
    </row>
    <row r="169" spans="2:5" ht="15.6" x14ac:dyDescent="0.3">
      <c r="B169" s="52" t="s">
        <v>218</v>
      </c>
      <c r="C169" s="51"/>
      <c r="D169" s="28">
        <v>6457.36</v>
      </c>
      <c r="E169" s="1"/>
    </row>
    <row r="170" spans="2:5" x14ac:dyDescent="0.3">
      <c r="B170" s="52"/>
      <c r="C170" s="51"/>
      <c r="D170" s="1">
        <v>0</v>
      </c>
      <c r="E170" s="1"/>
    </row>
    <row r="171" spans="2:5" x14ac:dyDescent="0.3">
      <c r="B171" s="60" t="s">
        <v>40</v>
      </c>
      <c r="C171" s="51"/>
      <c r="D171" s="1">
        <v>0</v>
      </c>
      <c r="E171" s="1"/>
    </row>
    <row r="172" spans="2:5" x14ac:dyDescent="0.3">
      <c r="B172" s="52"/>
      <c r="C172" s="51"/>
      <c r="D172" s="1">
        <v>0</v>
      </c>
      <c r="E172" s="1"/>
    </row>
    <row r="173" spans="2:5" x14ac:dyDescent="0.3">
      <c r="B173" s="52"/>
      <c r="C173" s="51"/>
      <c r="D173" s="1">
        <v>0</v>
      </c>
      <c r="E173" s="1"/>
    </row>
    <row r="174" spans="2:5" x14ac:dyDescent="0.3">
      <c r="B174" s="61" t="s">
        <v>47</v>
      </c>
      <c r="C174" s="51"/>
      <c r="D174" s="1">
        <v>0</v>
      </c>
      <c r="E174" s="1"/>
    </row>
    <row r="175" spans="2:5" ht="19.2" customHeight="1" x14ac:dyDescent="0.3">
      <c r="B175" s="52"/>
      <c r="C175" s="51"/>
      <c r="D175" s="1"/>
      <c r="E175" s="1"/>
    </row>
    <row r="176" spans="2:5" ht="15.6" x14ac:dyDescent="0.3">
      <c r="B176" s="52"/>
      <c r="C176" s="51"/>
      <c r="D176" s="34"/>
      <c r="E176" s="1"/>
    </row>
    <row r="177" spans="2:5" x14ac:dyDescent="0.3">
      <c r="B177" s="52"/>
      <c r="C177" s="51"/>
      <c r="D177" s="1">
        <v>0</v>
      </c>
      <c r="E177" s="1"/>
    </row>
    <row r="178" spans="2:5" x14ac:dyDescent="0.3">
      <c r="B178" s="56" t="s">
        <v>52</v>
      </c>
      <c r="C178" s="57"/>
      <c r="D178" s="1">
        <v>0</v>
      </c>
      <c r="E178" s="1"/>
    </row>
    <row r="179" spans="2:5" x14ac:dyDescent="0.3">
      <c r="B179" s="52" t="s">
        <v>53</v>
      </c>
      <c r="C179" s="51"/>
      <c r="D179" s="1"/>
      <c r="E179" s="1"/>
    </row>
    <row r="180" spans="2:5" x14ac:dyDescent="0.3">
      <c r="B180" s="52"/>
      <c r="C180" s="51"/>
      <c r="D180" s="1">
        <v>0</v>
      </c>
      <c r="E180" s="1"/>
    </row>
    <row r="181" spans="2:5" x14ac:dyDescent="0.3">
      <c r="B181" s="59" t="s">
        <v>42</v>
      </c>
      <c r="C181" s="51"/>
      <c r="D181" s="3">
        <f>SUM(D168:D180)</f>
        <v>6457.36</v>
      </c>
      <c r="E181" s="1"/>
    </row>
    <row r="182" spans="2:5" x14ac:dyDescent="0.3">
      <c r="B182" s="14"/>
      <c r="C182" s="14"/>
      <c r="D182" s="14"/>
      <c r="E182" s="14"/>
    </row>
    <row r="183" spans="2:5" x14ac:dyDescent="0.3">
      <c r="B183" t="s">
        <v>11</v>
      </c>
    </row>
    <row r="184" spans="2:5" x14ac:dyDescent="0.3">
      <c r="B184" t="s">
        <v>12</v>
      </c>
      <c r="C184" t="s">
        <v>13</v>
      </c>
    </row>
    <row r="188" spans="2:5" ht="15.6" x14ac:dyDescent="0.3">
      <c r="C188" s="4" t="s">
        <v>6</v>
      </c>
      <c r="D188" s="4"/>
    </row>
    <row r="189" spans="2:5" x14ac:dyDescent="0.3">
      <c r="B189" s="5" t="s">
        <v>7</v>
      </c>
      <c r="C189" s="5"/>
      <c r="D189" s="5"/>
      <c r="E189" s="5"/>
    </row>
    <row r="190" spans="2:5" x14ac:dyDescent="0.3">
      <c r="B190" s="5"/>
      <c r="C190" s="5" t="s">
        <v>30</v>
      </c>
      <c r="D190" s="5"/>
      <c r="E190" s="5"/>
    </row>
    <row r="191" spans="2:5" x14ac:dyDescent="0.3">
      <c r="B191" t="s">
        <v>163</v>
      </c>
      <c r="C191" t="s">
        <v>166</v>
      </c>
      <c r="D191" s="6">
        <v>5</v>
      </c>
    </row>
    <row r="194" spans="2:5" ht="28.8" x14ac:dyDescent="0.3">
      <c r="B194" s="1" t="s">
        <v>0</v>
      </c>
      <c r="C194" s="2" t="s">
        <v>1</v>
      </c>
      <c r="D194" s="2" t="s">
        <v>2</v>
      </c>
      <c r="E194" s="2" t="s">
        <v>3</v>
      </c>
    </row>
    <row r="195" spans="2:5" x14ac:dyDescent="0.3">
      <c r="B195" s="3" t="s">
        <v>4</v>
      </c>
      <c r="C195" s="1">
        <v>24128.38</v>
      </c>
      <c r="D195" s="1">
        <v>19683.990000000002</v>
      </c>
      <c r="E195" s="1">
        <v>55926.75</v>
      </c>
    </row>
    <row r="196" spans="2:5" x14ac:dyDescent="0.3">
      <c r="B196" s="49" t="s">
        <v>10</v>
      </c>
      <c r="C196" s="50"/>
      <c r="D196" s="51"/>
      <c r="E196" s="1">
        <f>C195-E195</f>
        <v>-31798.37</v>
      </c>
    </row>
    <row r="198" spans="2:5" ht="28.8" x14ac:dyDescent="0.3">
      <c r="B198" s="60" t="s">
        <v>37</v>
      </c>
      <c r="C198" s="51"/>
      <c r="D198" s="21" t="s">
        <v>41</v>
      </c>
      <c r="E198" s="3"/>
    </row>
    <row r="199" spans="2:5" x14ac:dyDescent="0.3">
      <c r="B199" s="60" t="s">
        <v>38</v>
      </c>
      <c r="C199" s="51"/>
      <c r="D199" s="1">
        <v>0</v>
      </c>
      <c r="E199" s="1"/>
    </row>
    <row r="200" spans="2:5" x14ac:dyDescent="0.3">
      <c r="B200" s="52"/>
      <c r="C200" s="51"/>
      <c r="D200" s="1">
        <v>0</v>
      </c>
      <c r="E200" s="1"/>
    </row>
    <row r="201" spans="2:5" x14ac:dyDescent="0.3">
      <c r="B201" s="52"/>
      <c r="C201" s="51"/>
      <c r="D201" s="1">
        <v>0</v>
      </c>
      <c r="E201" s="1"/>
    </row>
    <row r="202" spans="2:5" x14ac:dyDescent="0.3">
      <c r="B202" s="60" t="s">
        <v>40</v>
      </c>
      <c r="C202" s="51"/>
      <c r="D202" s="1">
        <v>0</v>
      </c>
      <c r="E202" s="1"/>
    </row>
    <row r="203" spans="2:5" x14ac:dyDescent="0.3">
      <c r="B203" s="52" t="s">
        <v>219</v>
      </c>
      <c r="C203" s="51"/>
      <c r="D203" s="27">
        <v>300.10000000000002</v>
      </c>
      <c r="E203" s="1"/>
    </row>
    <row r="204" spans="2:5" x14ac:dyDescent="0.3">
      <c r="B204" s="52"/>
      <c r="C204" s="51"/>
      <c r="D204" s="1">
        <v>0</v>
      </c>
      <c r="E204" s="1"/>
    </row>
    <row r="205" spans="2:5" x14ac:dyDescent="0.3">
      <c r="B205" s="61" t="s">
        <v>47</v>
      </c>
      <c r="C205" s="51"/>
      <c r="D205" s="1">
        <v>0</v>
      </c>
      <c r="E205" s="1"/>
    </row>
    <row r="206" spans="2:5" x14ac:dyDescent="0.3">
      <c r="B206" s="52" t="s">
        <v>214</v>
      </c>
      <c r="C206" s="51"/>
      <c r="D206" s="27">
        <v>55626.65</v>
      </c>
      <c r="E206" s="1"/>
    </row>
    <row r="207" spans="2:5" x14ac:dyDescent="0.3">
      <c r="B207" s="52"/>
      <c r="C207" s="51"/>
      <c r="D207" s="1"/>
      <c r="E207" s="1"/>
    </row>
    <row r="208" spans="2:5" x14ac:dyDescent="0.3">
      <c r="B208" s="52"/>
      <c r="C208" s="51"/>
      <c r="D208" s="1">
        <v>0</v>
      </c>
      <c r="E208" s="1"/>
    </row>
    <row r="209" spans="2:5" x14ac:dyDescent="0.3">
      <c r="B209" s="56" t="s">
        <v>52</v>
      </c>
      <c r="C209" s="57"/>
      <c r="D209" s="1">
        <v>0</v>
      </c>
      <c r="E209" s="1"/>
    </row>
    <row r="210" spans="2:5" x14ac:dyDescent="0.3">
      <c r="B210" s="52" t="s">
        <v>53</v>
      </c>
      <c r="C210" s="51"/>
      <c r="D210" s="1"/>
      <c r="E210" s="1"/>
    </row>
    <row r="211" spans="2:5" x14ac:dyDescent="0.3">
      <c r="B211" s="52"/>
      <c r="C211" s="51"/>
      <c r="D211" s="1">
        <v>0</v>
      </c>
      <c r="E211" s="1"/>
    </row>
    <row r="212" spans="2:5" x14ac:dyDescent="0.3">
      <c r="B212" s="59" t="s">
        <v>42</v>
      </c>
      <c r="C212" s="51"/>
      <c r="D212" s="3">
        <f>SUM(D199:D211)</f>
        <v>55926.75</v>
      </c>
      <c r="E212" s="1"/>
    </row>
    <row r="213" spans="2:5" x14ac:dyDescent="0.3">
      <c r="B213" s="14"/>
      <c r="C213" s="14"/>
      <c r="D213" s="14"/>
      <c r="E213" s="14"/>
    </row>
    <row r="214" spans="2:5" x14ac:dyDescent="0.3">
      <c r="B214" t="s">
        <v>11</v>
      </c>
    </row>
    <row r="215" spans="2:5" x14ac:dyDescent="0.3">
      <c r="B215" t="s">
        <v>12</v>
      </c>
      <c r="C215" t="s">
        <v>13</v>
      </c>
    </row>
    <row r="219" spans="2:5" ht="15.6" x14ac:dyDescent="0.3">
      <c r="C219" s="4" t="s">
        <v>6</v>
      </c>
      <c r="D219" s="4"/>
    </row>
    <row r="220" spans="2:5" x14ac:dyDescent="0.3">
      <c r="B220" s="5" t="s">
        <v>7</v>
      </c>
      <c r="C220" s="5"/>
      <c r="D220" s="5"/>
      <c r="E220" s="5"/>
    </row>
    <row r="221" spans="2:5" x14ac:dyDescent="0.3">
      <c r="B221" s="5"/>
      <c r="C221" s="5" t="s">
        <v>30</v>
      </c>
      <c r="D221" s="5"/>
      <c r="E221" s="5"/>
    </row>
    <row r="222" spans="2:5" x14ac:dyDescent="0.3">
      <c r="B222" t="s">
        <v>163</v>
      </c>
      <c r="C222" t="s">
        <v>166</v>
      </c>
      <c r="D222" s="6">
        <v>6</v>
      </c>
    </row>
    <row r="225" spans="2:5" ht="28.8" x14ac:dyDescent="0.3">
      <c r="B225" s="1" t="s">
        <v>0</v>
      </c>
      <c r="C225" s="2" t="s">
        <v>1</v>
      </c>
      <c r="D225" s="2" t="s">
        <v>2</v>
      </c>
      <c r="E225" s="2" t="s">
        <v>3</v>
      </c>
    </row>
    <row r="226" spans="2:5" x14ac:dyDescent="0.3">
      <c r="B226" s="3" t="s">
        <v>4</v>
      </c>
      <c r="C226" s="1">
        <v>210252.16</v>
      </c>
      <c r="D226" s="1">
        <v>189180.6</v>
      </c>
      <c r="E226" s="1">
        <v>272816.03000000003</v>
      </c>
    </row>
    <row r="227" spans="2:5" x14ac:dyDescent="0.3">
      <c r="B227" s="49" t="s">
        <v>10</v>
      </c>
      <c r="C227" s="50"/>
      <c r="D227" s="51"/>
      <c r="E227" s="1">
        <f>C226-E226</f>
        <v>-62563.870000000024</v>
      </c>
    </row>
    <row r="229" spans="2:5" ht="28.8" x14ac:dyDescent="0.3">
      <c r="B229" s="60" t="s">
        <v>37</v>
      </c>
      <c r="C229" s="51"/>
      <c r="D229" s="21" t="s">
        <v>41</v>
      </c>
      <c r="E229" s="3"/>
    </row>
    <row r="230" spans="2:5" x14ac:dyDescent="0.3">
      <c r="B230" s="60" t="s">
        <v>38</v>
      </c>
      <c r="C230" s="51"/>
      <c r="D230" s="1">
        <v>0</v>
      </c>
      <c r="E230" s="1"/>
    </row>
    <row r="231" spans="2:5" ht="15.6" x14ac:dyDescent="0.3">
      <c r="B231" s="52" t="s">
        <v>221</v>
      </c>
      <c r="C231" s="51"/>
      <c r="D231" s="32">
        <v>36223.85</v>
      </c>
      <c r="E231" s="1"/>
    </row>
    <row r="232" spans="2:5" ht="29.4" customHeight="1" x14ac:dyDescent="0.3">
      <c r="B232" s="52" t="s">
        <v>223</v>
      </c>
      <c r="C232" s="51"/>
      <c r="D232" s="35">
        <f>40634.22+670.19</f>
        <v>41304.410000000003</v>
      </c>
      <c r="E232" s="1"/>
    </row>
    <row r="233" spans="2:5" x14ac:dyDescent="0.3">
      <c r="B233" s="52" t="s">
        <v>222</v>
      </c>
      <c r="C233" s="65"/>
      <c r="D233" s="33">
        <v>6669.06</v>
      </c>
      <c r="E233" s="1"/>
    </row>
    <row r="234" spans="2:5" x14ac:dyDescent="0.3">
      <c r="B234" s="60" t="s">
        <v>40</v>
      </c>
      <c r="C234" s="51"/>
      <c r="D234" s="1">
        <v>0</v>
      </c>
      <c r="E234" s="1"/>
    </row>
    <row r="235" spans="2:5" x14ac:dyDescent="0.3">
      <c r="B235" s="52" t="s">
        <v>113</v>
      </c>
      <c r="C235" s="51"/>
      <c r="D235" s="30">
        <v>58831.62</v>
      </c>
      <c r="E235" s="1"/>
    </row>
    <row r="236" spans="2:5" ht="15.6" x14ac:dyDescent="0.3">
      <c r="B236" s="52" t="s">
        <v>92</v>
      </c>
      <c r="C236" s="51"/>
      <c r="D236" s="32">
        <v>44000</v>
      </c>
      <c r="E236" s="1"/>
    </row>
    <row r="237" spans="2:5" x14ac:dyDescent="0.3">
      <c r="B237" s="61" t="s">
        <v>47</v>
      </c>
      <c r="C237" s="51"/>
      <c r="D237" s="1">
        <v>0</v>
      </c>
      <c r="E237" s="1"/>
    </row>
    <row r="238" spans="2:5" ht="28.8" customHeight="1" x14ac:dyDescent="0.3">
      <c r="B238" s="52" t="s">
        <v>220</v>
      </c>
      <c r="C238" s="51"/>
      <c r="D238" s="1">
        <f>314.8+31511.36+681.37+13240.75+1376.66</f>
        <v>47124.94</v>
      </c>
      <c r="E238" s="1"/>
    </row>
    <row r="239" spans="2:5" x14ac:dyDescent="0.3">
      <c r="B239" s="52" t="s">
        <v>205</v>
      </c>
      <c r="C239" s="51"/>
      <c r="D239" s="1">
        <f>143.03+153.19</f>
        <v>296.22000000000003</v>
      </c>
      <c r="E239" s="1"/>
    </row>
    <row r="240" spans="2:5" x14ac:dyDescent="0.3">
      <c r="B240" s="52" t="s">
        <v>224</v>
      </c>
      <c r="C240" s="51"/>
      <c r="D240" s="1">
        <f>11844.68+26521.25</f>
        <v>38365.93</v>
      </c>
      <c r="E240" s="1"/>
    </row>
    <row r="241" spans="2:5" x14ac:dyDescent="0.3">
      <c r="B241" s="56" t="s">
        <v>52</v>
      </c>
      <c r="C241" s="57"/>
      <c r="D241" s="1">
        <v>0</v>
      </c>
      <c r="E241" s="1"/>
    </row>
    <row r="242" spans="2:5" x14ac:dyDescent="0.3">
      <c r="B242" s="52" t="s">
        <v>53</v>
      </c>
      <c r="C242" s="51"/>
      <c r="D242" s="1"/>
      <c r="E242" s="1"/>
    </row>
    <row r="243" spans="2:5" x14ac:dyDescent="0.3">
      <c r="B243" s="52"/>
      <c r="C243" s="51"/>
      <c r="D243" s="1">
        <v>0</v>
      </c>
      <c r="E243" s="1"/>
    </row>
    <row r="244" spans="2:5" x14ac:dyDescent="0.3">
      <c r="B244" s="59" t="s">
        <v>42</v>
      </c>
      <c r="C244" s="51"/>
      <c r="D244" s="3">
        <f>SUM(D230:D243)</f>
        <v>272816.03000000003</v>
      </c>
      <c r="E244" s="1"/>
    </row>
    <row r="245" spans="2:5" x14ac:dyDescent="0.3">
      <c r="B245" s="14"/>
      <c r="C245" s="14"/>
      <c r="D245" s="14"/>
      <c r="E245" s="14"/>
    </row>
    <row r="246" spans="2:5" x14ac:dyDescent="0.3">
      <c r="B246" t="s">
        <v>11</v>
      </c>
    </row>
    <row r="247" spans="2:5" x14ac:dyDescent="0.3">
      <c r="B247" t="s">
        <v>12</v>
      </c>
      <c r="C247" t="s">
        <v>13</v>
      </c>
    </row>
    <row r="251" spans="2:5" ht="15.6" x14ac:dyDescent="0.3">
      <c r="C251" s="4" t="s">
        <v>6</v>
      </c>
      <c r="D251" s="4"/>
    </row>
    <row r="252" spans="2:5" x14ac:dyDescent="0.3">
      <c r="B252" s="5" t="s">
        <v>7</v>
      </c>
      <c r="C252" s="5"/>
      <c r="D252" s="5"/>
      <c r="E252" s="5"/>
    </row>
    <row r="253" spans="2:5" x14ac:dyDescent="0.3">
      <c r="B253" s="5"/>
      <c r="C253" s="5" t="s">
        <v>30</v>
      </c>
      <c r="D253" s="5"/>
      <c r="E253" s="5"/>
    </row>
    <row r="254" spans="2:5" x14ac:dyDescent="0.3">
      <c r="B254" t="s">
        <v>163</v>
      </c>
      <c r="C254" t="s">
        <v>166</v>
      </c>
      <c r="D254" s="6">
        <v>7</v>
      </c>
    </row>
    <row r="257" spans="2:5" ht="28.8" x14ac:dyDescent="0.3">
      <c r="B257" s="1" t="s">
        <v>0</v>
      </c>
      <c r="C257" s="2" t="s">
        <v>1</v>
      </c>
      <c r="D257" s="2" t="s">
        <v>2</v>
      </c>
      <c r="E257" s="2" t="s">
        <v>3</v>
      </c>
    </row>
    <row r="258" spans="2:5" x14ac:dyDescent="0.3">
      <c r="B258" s="3" t="s">
        <v>4</v>
      </c>
      <c r="C258" s="1">
        <v>28951.08</v>
      </c>
      <c r="D258" s="1">
        <v>24699.13</v>
      </c>
      <c r="E258" s="1">
        <v>67563.62</v>
      </c>
    </row>
    <row r="259" spans="2:5" x14ac:dyDescent="0.3">
      <c r="B259" s="49" t="s">
        <v>10</v>
      </c>
      <c r="C259" s="50"/>
      <c r="D259" s="51"/>
      <c r="E259" s="1">
        <f>C258-E258</f>
        <v>-38612.539999999994</v>
      </c>
    </row>
    <row r="261" spans="2:5" ht="28.8" x14ac:dyDescent="0.3">
      <c r="B261" s="60" t="s">
        <v>37</v>
      </c>
      <c r="C261" s="51"/>
      <c r="D261" s="21" t="s">
        <v>41</v>
      </c>
      <c r="E261" s="3"/>
    </row>
    <row r="262" spans="2:5" x14ac:dyDescent="0.3">
      <c r="B262" s="60" t="s">
        <v>38</v>
      </c>
      <c r="C262" s="51"/>
      <c r="D262" s="1">
        <v>0</v>
      </c>
      <c r="E262" s="1"/>
    </row>
    <row r="263" spans="2:5" x14ac:dyDescent="0.3">
      <c r="B263" s="52" t="s">
        <v>201</v>
      </c>
      <c r="C263" s="51"/>
      <c r="D263" s="30">
        <v>837.74</v>
      </c>
      <c r="E263" s="1"/>
    </row>
    <row r="264" spans="2:5" x14ac:dyDescent="0.3">
      <c r="B264" s="52"/>
      <c r="C264" s="51"/>
      <c r="D264" s="1">
        <v>0</v>
      </c>
      <c r="E264" s="1"/>
    </row>
    <row r="265" spans="2:5" x14ac:dyDescent="0.3">
      <c r="B265" s="60" t="s">
        <v>40</v>
      </c>
      <c r="C265" s="51"/>
      <c r="D265" s="1">
        <v>0</v>
      </c>
      <c r="E265" s="1"/>
    </row>
    <row r="266" spans="2:5" x14ac:dyDescent="0.3">
      <c r="B266" s="52" t="s">
        <v>113</v>
      </c>
      <c r="C266" s="51"/>
      <c r="D266" s="33">
        <v>39880.160000000003</v>
      </c>
      <c r="E266" s="1"/>
    </row>
    <row r="267" spans="2:5" ht="28.8" customHeight="1" x14ac:dyDescent="0.3">
      <c r="B267" s="52" t="s">
        <v>225</v>
      </c>
      <c r="C267" s="51"/>
      <c r="D267" s="1">
        <f>9939.59+4170.89+464.59</f>
        <v>14575.07</v>
      </c>
      <c r="E267" s="1"/>
    </row>
    <row r="268" spans="2:5" x14ac:dyDescent="0.3">
      <c r="B268" s="10" t="s">
        <v>226</v>
      </c>
      <c r="C268" s="24"/>
      <c r="D268" s="27">
        <v>12270.65</v>
      </c>
      <c r="E268" s="1"/>
    </row>
    <row r="269" spans="2:5" x14ac:dyDescent="0.3">
      <c r="B269" s="61" t="s">
        <v>47</v>
      </c>
      <c r="C269" s="51"/>
      <c r="D269" s="1">
        <v>0</v>
      </c>
      <c r="E269" s="1"/>
    </row>
    <row r="270" spans="2:5" x14ac:dyDescent="0.3">
      <c r="B270" s="52"/>
      <c r="C270" s="51"/>
      <c r="D270" s="1">
        <v>0</v>
      </c>
      <c r="E270" s="1"/>
    </row>
    <row r="271" spans="2:5" x14ac:dyDescent="0.3">
      <c r="B271" s="52"/>
      <c r="C271" s="51"/>
      <c r="D271" s="1"/>
      <c r="E271" s="1"/>
    </row>
    <row r="272" spans="2:5" x14ac:dyDescent="0.3">
      <c r="B272" s="52"/>
      <c r="C272" s="51"/>
      <c r="D272" s="1">
        <v>0</v>
      </c>
      <c r="E272" s="1"/>
    </row>
    <row r="273" spans="2:5" x14ac:dyDescent="0.3">
      <c r="B273" s="56" t="s">
        <v>52</v>
      </c>
      <c r="C273" s="57"/>
      <c r="D273" s="1">
        <v>0</v>
      </c>
      <c r="E273" s="1"/>
    </row>
    <row r="274" spans="2:5" x14ac:dyDescent="0.3">
      <c r="B274" s="52" t="s">
        <v>53</v>
      </c>
      <c r="C274" s="51"/>
      <c r="D274" s="1"/>
      <c r="E274" s="1"/>
    </row>
    <row r="275" spans="2:5" x14ac:dyDescent="0.3">
      <c r="B275" s="52"/>
      <c r="C275" s="51"/>
      <c r="D275" s="1">
        <v>0</v>
      </c>
      <c r="E275" s="1"/>
    </row>
    <row r="276" spans="2:5" x14ac:dyDescent="0.3">
      <c r="B276" s="59" t="s">
        <v>42</v>
      </c>
      <c r="C276" s="51"/>
      <c r="D276" s="3">
        <f>SUM(D262:D275)</f>
        <v>67563.62</v>
      </c>
      <c r="E276" s="1"/>
    </row>
    <row r="277" spans="2:5" x14ac:dyDescent="0.3">
      <c r="B277" s="14"/>
      <c r="C277" s="14"/>
      <c r="D277" s="14"/>
      <c r="E277" s="14"/>
    </row>
    <row r="278" spans="2:5" x14ac:dyDescent="0.3">
      <c r="B278" t="s">
        <v>11</v>
      </c>
    </row>
    <row r="279" spans="2:5" x14ac:dyDescent="0.3">
      <c r="B279" t="s">
        <v>12</v>
      </c>
      <c r="C279" t="s">
        <v>13</v>
      </c>
    </row>
    <row r="283" spans="2:5" ht="15.6" x14ac:dyDescent="0.3">
      <c r="C283" s="4" t="s">
        <v>6</v>
      </c>
      <c r="D283" s="4"/>
    </row>
    <row r="284" spans="2:5" x14ac:dyDescent="0.3">
      <c r="B284" s="5" t="s">
        <v>7</v>
      </c>
      <c r="C284" s="5"/>
      <c r="D284" s="5"/>
      <c r="E284" s="5"/>
    </row>
    <row r="285" spans="2:5" x14ac:dyDescent="0.3">
      <c r="B285" s="5"/>
      <c r="C285" s="5" t="s">
        <v>30</v>
      </c>
      <c r="D285" s="5"/>
      <c r="E285" s="5"/>
    </row>
    <row r="286" spans="2:5" x14ac:dyDescent="0.3">
      <c r="B286" t="s">
        <v>163</v>
      </c>
      <c r="C286" t="s">
        <v>166</v>
      </c>
      <c r="D286" s="6">
        <v>9</v>
      </c>
    </row>
    <row r="289" spans="2:5" ht="28.8" x14ac:dyDescent="0.3">
      <c r="B289" s="1" t="s">
        <v>0</v>
      </c>
      <c r="C289" s="2" t="s">
        <v>1</v>
      </c>
      <c r="D289" s="2" t="s">
        <v>2</v>
      </c>
      <c r="E289" s="2" t="s">
        <v>3</v>
      </c>
    </row>
    <row r="290" spans="2:5" x14ac:dyDescent="0.3">
      <c r="B290" s="3" t="s">
        <v>4</v>
      </c>
      <c r="C290" s="1">
        <f>91840.14+3563.75</f>
        <v>95403.89</v>
      </c>
      <c r="D290" s="1">
        <v>74967.16</v>
      </c>
      <c r="E290" s="1">
        <v>66941.710000000006</v>
      </c>
    </row>
    <row r="291" spans="2:5" x14ac:dyDescent="0.3">
      <c r="B291" s="49" t="s">
        <v>10</v>
      </c>
      <c r="C291" s="50"/>
      <c r="D291" s="51"/>
      <c r="E291" s="1">
        <f>C290-E290</f>
        <v>28462.179999999993</v>
      </c>
    </row>
    <row r="293" spans="2:5" ht="28.8" x14ac:dyDescent="0.3">
      <c r="B293" s="60" t="s">
        <v>37</v>
      </c>
      <c r="C293" s="51"/>
      <c r="D293" s="21" t="s">
        <v>41</v>
      </c>
      <c r="E293" s="3"/>
    </row>
    <row r="294" spans="2:5" x14ac:dyDescent="0.3">
      <c r="B294" s="60" t="s">
        <v>38</v>
      </c>
      <c r="C294" s="51"/>
      <c r="D294" s="1">
        <v>0</v>
      </c>
      <c r="E294" s="1"/>
    </row>
    <row r="295" spans="2:5" x14ac:dyDescent="0.3">
      <c r="B295" s="52"/>
      <c r="C295" s="51"/>
      <c r="D295" s="1">
        <v>0</v>
      </c>
      <c r="E295" s="1"/>
    </row>
    <row r="296" spans="2:5" x14ac:dyDescent="0.3">
      <c r="B296" s="52"/>
      <c r="C296" s="51"/>
      <c r="D296" s="1">
        <v>0</v>
      </c>
      <c r="E296" s="1"/>
    </row>
    <row r="297" spans="2:5" x14ac:dyDescent="0.3">
      <c r="B297" s="60" t="s">
        <v>40</v>
      </c>
      <c r="C297" s="51"/>
      <c r="D297" s="1">
        <v>0</v>
      </c>
      <c r="E297" s="1"/>
    </row>
    <row r="298" spans="2:5" x14ac:dyDescent="0.3">
      <c r="B298" s="52" t="s">
        <v>227</v>
      </c>
      <c r="C298" s="62"/>
      <c r="D298" s="27">
        <v>2099.42</v>
      </c>
      <c r="E298" s="1"/>
    </row>
    <row r="299" spans="2:5" ht="27.6" customHeight="1" x14ac:dyDescent="0.3">
      <c r="B299" s="52" t="s">
        <v>228</v>
      </c>
      <c r="C299" s="62"/>
      <c r="D299" s="27">
        <f>41037.31+3188.66+7530.64+805.98</f>
        <v>52562.590000000004</v>
      </c>
      <c r="E299" s="1"/>
    </row>
    <row r="300" spans="2:5" x14ac:dyDescent="0.3">
      <c r="B300" s="61" t="s">
        <v>47</v>
      </c>
      <c r="C300" s="51"/>
      <c r="D300" s="1">
        <v>0</v>
      </c>
      <c r="E300" s="1"/>
    </row>
    <row r="301" spans="2:5" ht="15.6" x14ac:dyDescent="0.3">
      <c r="B301" s="52" t="s">
        <v>229</v>
      </c>
      <c r="C301" s="51"/>
      <c r="D301" s="32">
        <v>323.88</v>
      </c>
      <c r="E301" s="1"/>
    </row>
    <row r="302" spans="2:5" ht="15.6" x14ac:dyDescent="0.3">
      <c r="B302" s="52" t="s">
        <v>192</v>
      </c>
      <c r="C302" s="51"/>
      <c r="D302" s="32">
        <v>3011.68</v>
      </c>
      <c r="E302" s="1"/>
    </row>
    <row r="303" spans="2:5" x14ac:dyDescent="0.3">
      <c r="B303" s="52"/>
      <c r="C303" s="51"/>
      <c r="D303" s="1">
        <v>0</v>
      </c>
      <c r="E303" s="1"/>
    </row>
    <row r="304" spans="2:5" x14ac:dyDescent="0.3">
      <c r="B304" s="56" t="s">
        <v>52</v>
      </c>
      <c r="C304" s="57"/>
      <c r="D304" s="1">
        <v>0</v>
      </c>
      <c r="E304" s="1"/>
    </row>
    <row r="305" spans="2:5" x14ac:dyDescent="0.3">
      <c r="B305" s="52" t="s">
        <v>53</v>
      </c>
      <c r="C305" s="51"/>
      <c r="D305" s="1"/>
      <c r="E305" s="1"/>
    </row>
    <row r="306" spans="2:5" x14ac:dyDescent="0.3">
      <c r="B306" s="52" t="s">
        <v>224</v>
      </c>
      <c r="C306" s="51"/>
      <c r="D306" s="1">
        <f>6390.16+2553.98</f>
        <v>8944.14</v>
      </c>
      <c r="E306" s="1"/>
    </row>
    <row r="307" spans="2:5" x14ac:dyDescent="0.3">
      <c r="B307" s="59" t="s">
        <v>42</v>
      </c>
      <c r="C307" s="51"/>
      <c r="D307" s="3">
        <f>SUM(D294:D306)</f>
        <v>66941.709999999992</v>
      </c>
      <c r="E307" s="1"/>
    </row>
    <row r="308" spans="2:5" x14ac:dyDescent="0.3">
      <c r="B308" s="14"/>
      <c r="C308" s="14"/>
      <c r="D308" s="14"/>
      <c r="E308" s="14"/>
    </row>
    <row r="309" spans="2:5" x14ac:dyDescent="0.3">
      <c r="B309" t="s">
        <v>11</v>
      </c>
    </row>
    <row r="310" spans="2:5" x14ac:dyDescent="0.3">
      <c r="B310" t="s">
        <v>12</v>
      </c>
      <c r="C310" t="s">
        <v>13</v>
      </c>
    </row>
    <row r="314" spans="2:5" ht="15.6" x14ac:dyDescent="0.3">
      <c r="C314" s="4" t="s">
        <v>6</v>
      </c>
      <c r="D314" s="4"/>
    </row>
    <row r="315" spans="2:5" x14ac:dyDescent="0.3">
      <c r="B315" s="5" t="s">
        <v>7</v>
      </c>
      <c r="C315" s="5"/>
      <c r="D315" s="5"/>
      <c r="E315" s="5"/>
    </row>
    <row r="316" spans="2:5" x14ac:dyDescent="0.3">
      <c r="B316" s="5"/>
      <c r="C316" s="5" t="s">
        <v>30</v>
      </c>
      <c r="D316" s="5"/>
      <c r="E316" s="5"/>
    </row>
    <row r="317" spans="2:5" x14ac:dyDescent="0.3">
      <c r="B317" t="s">
        <v>163</v>
      </c>
      <c r="C317" t="s">
        <v>166</v>
      </c>
      <c r="D317" s="6">
        <v>18</v>
      </c>
    </row>
    <row r="320" spans="2:5" ht="28.8" x14ac:dyDescent="0.3">
      <c r="B320" s="1" t="s">
        <v>0</v>
      </c>
      <c r="C320" s="2" t="s">
        <v>1</v>
      </c>
      <c r="D320" s="2" t="s">
        <v>2</v>
      </c>
      <c r="E320" s="2" t="s">
        <v>3</v>
      </c>
    </row>
    <row r="321" spans="2:5" x14ac:dyDescent="0.3">
      <c r="B321" s="3" t="s">
        <v>4</v>
      </c>
      <c r="C321" s="1">
        <v>31912.080000000002</v>
      </c>
      <c r="D321" s="1">
        <v>26631.26</v>
      </c>
      <c r="E321" s="1">
        <v>3701.83</v>
      </c>
    </row>
    <row r="322" spans="2:5" x14ac:dyDescent="0.3">
      <c r="B322" s="49" t="s">
        <v>10</v>
      </c>
      <c r="C322" s="50"/>
      <c r="D322" s="51"/>
      <c r="E322" s="1">
        <f>C321-E321</f>
        <v>28210.25</v>
      </c>
    </row>
    <row r="324" spans="2:5" ht="28.8" x14ac:dyDescent="0.3">
      <c r="B324" s="60" t="s">
        <v>37</v>
      </c>
      <c r="C324" s="51"/>
      <c r="D324" s="21" t="s">
        <v>41</v>
      </c>
      <c r="E324" s="3"/>
    </row>
    <row r="325" spans="2:5" x14ac:dyDescent="0.3">
      <c r="B325" s="60" t="s">
        <v>38</v>
      </c>
      <c r="C325" s="51"/>
      <c r="D325" s="1">
        <v>0</v>
      </c>
      <c r="E325" s="1"/>
    </row>
    <row r="326" spans="2:5" ht="15.6" x14ac:dyDescent="0.3">
      <c r="B326" s="52" t="s">
        <v>230</v>
      </c>
      <c r="C326" s="51"/>
      <c r="D326" s="36">
        <v>2243.96</v>
      </c>
      <c r="E326" s="1"/>
    </row>
    <row r="327" spans="2:5" ht="15.6" x14ac:dyDescent="0.3">
      <c r="B327" s="52" t="s">
        <v>231</v>
      </c>
      <c r="C327" s="51"/>
      <c r="D327" s="32">
        <v>1269.79</v>
      </c>
      <c r="E327" s="1"/>
    </row>
    <row r="328" spans="2:5" x14ac:dyDescent="0.3">
      <c r="B328" s="60" t="s">
        <v>40</v>
      </c>
      <c r="C328" s="51"/>
      <c r="D328" s="1">
        <v>0</v>
      </c>
      <c r="E328" s="1"/>
    </row>
    <row r="329" spans="2:5" x14ac:dyDescent="0.3">
      <c r="B329" s="52"/>
      <c r="C329" s="51"/>
      <c r="D329" s="1">
        <v>0</v>
      </c>
      <c r="E329" s="1"/>
    </row>
    <row r="330" spans="2:5" x14ac:dyDescent="0.3">
      <c r="B330" s="52"/>
      <c r="C330" s="51"/>
      <c r="D330" s="1">
        <v>0</v>
      </c>
      <c r="E330" s="1"/>
    </row>
    <row r="331" spans="2:5" x14ac:dyDescent="0.3">
      <c r="B331" s="61" t="s">
        <v>47</v>
      </c>
      <c r="C331" s="51"/>
      <c r="D331" s="1">
        <v>0</v>
      </c>
      <c r="E331" s="1"/>
    </row>
    <row r="332" spans="2:5" x14ac:dyDescent="0.3">
      <c r="B332" s="52"/>
      <c r="C332" s="51"/>
      <c r="D332" s="1">
        <v>0</v>
      </c>
      <c r="E332" s="1"/>
    </row>
    <row r="333" spans="2:5" x14ac:dyDescent="0.3">
      <c r="B333" s="52"/>
      <c r="C333" s="51"/>
      <c r="D333" s="1"/>
      <c r="E333" s="1"/>
    </row>
    <row r="334" spans="2:5" x14ac:dyDescent="0.3">
      <c r="B334" s="52"/>
      <c r="C334" s="51"/>
      <c r="D334" s="1">
        <v>0</v>
      </c>
      <c r="E334" s="1"/>
    </row>
    <row r="335" spans="2:5" x14ac:dyDescent="0.3">
      <c r="B335" s="56" t="s">
        <v>52</v>
      </c>
      <c r="C335" s="57"/>
      <c r="D335" s="1">
        <v>0</v>
      </c>
      <c r="E335" s="1"/>
    </row>
    <row r="336" spans="2:5" ht="15.6" x14ac:dyDescent="0.3">
      <c r="B336" s="52" t="s">
        <v>53</v>
      </c>
      <c r="C336" s="51"/>
      <c r="D336" s="34">
        <v>188.08</v>
      </c>
      <c r="E336" s="1"/>
    </row>
    <row r="337" spans="2:5" x14ac:dyDescent="0.3">
      <c r="B337" s="52"/>
      <c r="C337" s="51"/>
      <c r="D337" s="1">
        <v>0</v>
      </c>
      <c r="E337" s="1"/>
    </row>
    <row r="338" spans="2:5" x14ac:dyDescent="0.3">
      <c r="B338" s="59" t="s">
        <v>42</v>
      </c>
      <c r="C338" s="51"/>
      <c r="D338" s="3">
        <f>SUM(D325:D337)</f>
        <v>3701.83</v>
      </c>
      <c r="E338" s="1"/>
    </row>
    <row r="339" spans="2:5" x14ac:dyDescent="0.3">
      <c r="B339" s="14"/>
      <c r="C339" s="14"/>
      <c r="D339" s="14"/>
      <c r="E339" s="14"/>
    </row>
    <row r="340" spans="2:5" x14ac:dyDescent="0.3">
      <c r="B340" t="s">
        <v>11</v>
      </c>
    </row>
    <row r="341" spans="2:5" x14ac:dyDescent="0.3">
      <c r="B341" t="s">
        <v>12</v>
      </c>
      <c r="C341" t="s">
        <v>13</v>
      </c>
    </row>
  </sheetData>
  <mergeCells count="177">
    <mergeCell ref="B337:C337"/>
    <mergeCell ref="B338:C338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04:C304"/>
    <mergeCell ref="B305:C305"/>
    <mergeCell ref="B306:C306"/>
    <mergeCell ref="B307:C307"/>
    <mergeCell ref="B322:D322"/>
    <mergeCell ref="B324:C324"/>
    <mergeCell ref="B298:C298"/>
    <mergeCell ref="B299:C299"/>
    <mergeCell ref="B300:C300"/>
    <mergeCell ref="B301:C301"/>
    <mergeCell ref="B302:C302"/>
    <mergeCell ref="B303:C303"/>
    <mergeCell ref="B291:D291"/>
    <mergeCell ref="B293:C293"/>
    <mergeCell ref="B294:C294"/>
    <mergeCell ref="B295:C295"/>
    <mergeCell ref="B296:C296"/>
    <mergeCell ref="B297:C297"/>
    <mergeCell ref="B271:C271"/>
    <mergeCell ref="B272:C272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69:C269"/>
    <mergeCell ref="B270:C270"/>
    <mergeCell ref="B243:C243"/>
    <mergeCell ref="B244:C244"/>
    <mergeCell ref="B259:D259"/>
    <mergeCell ref="B261:C261"/>
    <mergeCell ref="B262:C262"/>
    <mergeCell ref="B263:C263"/>
    <mergeCell ref="B237:C237"/>
    <mergeCell ref="B238:C238"/>
    <mergeCell ref="B239:C239"/>
    <mergeCell ref="B240:C240"/>
    <mergeCell ref="B241:C241"/>
    <mergeCell ref="B242:C242"/>
    <mergeCell ref="B230:C230"/>
    <mergeCell ref="B231:C231"/>
    <mergeCell ref="B232:C232"/>
    <mergeCell ref="B234:C234"/>
    <mergeCell ref="B235:C235"/>
    <mergeCell ref="B236:C236"/>
    <mergeCell ref="B233:C233"/>
    <mergeCell ref="B209:C209"/>
    <mergeCell ref="B210:C210"/>
    <mergeCell ref="B211:C211"/>
    <mergeCell ref="B212:C212"/>
    <mergeCell ref="B227:D227"/>
    <mergeCell ref="B229:C229"/>
    <mergeCell ref="B203:C203"/>
    <mergeCell ref="B204:C204"/>
    <mergeCell ref="B205:C205"/>
    <mergeCell ref="B206:C206"/>
    <mergeCell ref="B207:C207"/>
    <mergeCell ref="B208:C208"/>
    <mergeCell ref="B196:D196"/>
    <mergeCell ref="B198:C198"/>
    <mergeCell ref="B199:C199"/>
    <mergeCell ref="B200:C200"/>
    <mergeCell ref="B201:C201"/>
    <mergeCell ref="B202:C202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49:C149"/>
    <mergeCell ref="B150:C150"/>
    <mergeCell ref="B165:D165"/>
    <mergeCell ref="B167:C167"/>
    <mergeCell ref="B168:C168"/>
    <mergeCell ref="B169:C169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16:C116"/>
    <mergeCell ref="B117:C117"/>
    <mergeCell ref="B118:C118"/>
    <mergeCell ref="B119:C119"/>
    <mergeCell ref="B134:D134"/>
    <mergeCell ref="B136:C136"/>
    <mergeCell ref="B110:C110"/>
    <mergeCell ref="B111:C111"/>
    <mergeCell ref="B112:C112"/>
    <mergeCell ref="B113:C113"/>
    <mergeCell ref="B114:C114"/>
    <mergeCell ref="B115:C115"/>
    <mergeCell ref="B103:D103"/>
    <mergeCell ref="B105:C105"/>
    <mergeCell ref="B106:C106"/>
    <mergeCell ref="B107:C107"/>
    <mergeCell ref="B108:C108"/>
    <mergeCell ref="B109:C109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56:C56"/>
    <mergeCell ref="B57:C57"/>
    <mergeCell ref="B72:D72"/>
    <mergeCell ref="B74:C74"/>
    <mergeCell ref="B75:C75"/>
    <mergeCell ref="B76:C76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27:C27"/>
    <mergeCell ref="B41:D41"/>
    <mergeCell ref="B43:C43"/>
    <mergeCell ref="B18:C18"/>
    <mergeCell ref="B19:C19"/>
    <mergeCell ref="B20:C20"/>
    <mergeCell ref="B21:C21"/>
    <mergeCell ref="B22:C22"/>
    <mergeCell ref="B23:C23"/>
    <mergeCell ref="B11:D11"/>
    <mergeCell ref="B13:C13"/>
    <mergeCell ref="B14:C14"/>
    <mergeCell ref="B15:C15"/>
    <mergeCell ref="B16:C16"/>
    <mergeCell ref="B17:C17"/>
    <mergeCell ref="B24:C24"/>
    <mergeCell ref="B25:C25"/>
    <mergeCell ref="B26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1"/>
  <sheetViews>
    <sheetView workbookViewId="0">
      <selection activeCell="H5" sqref="H5"/>
    </sheetView>
  </sheetViews>
  <sheetFormatPr defaultRowHeight="14.4" x14ac:dyDescent="0.3"/>
  <cols>
    <col min="2" max="2" width="31.88671875" customWidth="1"/>
    <col min="3" max="3" width="13.109375" customWidth="1"/>
    <col min="4" max="4" width="11.5546875" customWidth="1"/>
    <col min="5" max="5" width="10.88671875" customWidth="1"/>
  </cols>
  <sheetData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30</v>
      </c>
      <c r="D6" s="5"/>
      <c r="E6" s="5"/>
    </row>
    <row r="7" spans="2:5" x14ac:dyDescent="0.3">
      <c r="B7" t="s">
        <v>163</v>
      </c>
      <c r="C7" t="s">
        <v>168</v>
      </c>
      <c r="D7" s="6" t="s">
        <v>169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v>14449.2</v>
      </c>
      <c r="D11" s="1">
        <v>10219.99</v>
      </c>
      <c r="E11" s="1">
        <v>0</v>
      </c>
    </row>
    <row r="12" spans="2:5" x14ac:dyDescent="0.3">
      <c r="B12" s="49" t="s">
        <v>10</v>
      </c>
      <c r="C12" s="50"/>
      <c r="D12" s="51"/>
      <c r="E12" s="1">
        <f>C11-E11</f>
        <v>14449.2</v>
      </c>
    </row>
    <row r="14" spans="2:5" ht="28.8" x14ac:dyDescent="0.3">
      <c r="B14" s="60" t="s">
        <v>37</v>
      </c>
      <c r="C14" s="51"/>
      <c r="D14" s="21" t="s">
        <v>41</v>
      </c>
      <c r="E14" s="3"/>
    </row>
    <row r="15" spans="2:5" x14ac:dyDescent="0.3">
      <c r="B15" s="60" t="s">
        <v>38</v>
      </c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52"/>
      <c r="C17" s="51"/>
      <c r="D17" s="1">
        <v>0</v>
      </c>
      <c r="E17" s="1"/>
    </row>
    <row r="18" spans="2:5" x14ac:dyDescent="0.3">
      <c r="B18" s="60" t="s">
        <v>40</v>
      </c>
      <c r="C18" s="51"/>
      <c r="D18" s="1">
        <v>0</v>
      </c>
      <c r="E18" s="1"/>
    </row>
    <row r="19" spans="2:5" x14ac:dyDescent="0.3">
      <c r="B19" s="52"/>
      <c r="C19" s="51"/>
      <c r="D19" s="1">
        <v>0</v>
      </c>
      <c r="E19" s="1"/>
    </row>
    <row r="20" spans="2:5" x14ac:dyDescent="0.3">
      <c r="B20" s="52"/>
      <c r="C20" s="51"/>
      <c r="D20" s="1">
        <v>0</v>
      </c>
      <c r="E20" s="1"/>
    </row>
    <row r="21" spans="2:5" x14ac:dyDescent="0.3">
      <c r="B21" s="61" t="s">
        <v>47</v>
      </c>
      <c r="C21" s="51"/>
      <c r="D21" s="1">
        <v>0</v>
      </c>
      <c r="E21" s="1"/>
    </row>
    <row r="22" spans="2:5" x14ac:dyDescent="0.3">
      <c r="B22" s="52"/>
      <c r="C22" s="51"/>
      <c r="D22" s="1">
        <v>0</v>
      </c>
      <c r="E22" s="1"/>
    </row>
    <row r="23" spans="2:5" x14ac:dyDescent="0.3">
      <c r="B23" s="52"/>
      <c r="C23" s="51"/>
      <c r="D23" s="1"/>
      <c r="E23" s="1"/>
    </row>
    <row r="24" spans="2:5" x14ac:dyDescent="0.3">
      <c r="B24" s="52"/>
      <c r="C24" s="51"/>
      <c r="D24" s="1">
        <v>0</v>
      </c>
      <c r="E24" s="1"/>
    </row>
    <row r="25" spans="2:5" x14ac:dyDescent="0.3">
      <c r="B25" s="56" t="s">
        <v>52</v>
      </c>
      <c r="C25" s="57"/>
      <c r="D25" s="1">
        <v>0</v>
      </c>
      <c r="E25" s="1"/>
    </row>
    <row r="26" spans="2:5" x14ac:dyDescent="0.3">
      <c r="B26" s="52" t="s">
        <v>53</v>
      </c>
      <c r="C26" s="51"/>
      <c r="D26" s="1"/>
      <c r="E26" s="1"/>
    </row>
    <row r="27" spans="2:5" x14ac:dyDescent="0.3">
      <c r="B27" s="52"/>
      <c r="C27" s="51"/>
      <c r="D27" s="1">
        <v>0</v>
      </c>
      <c r="E27" s="1"/>
    </row>
    <row r="28" spans="2:5" x14ac:dyDescent="0.3">
      <c r="B28" s="59" t="s">
        <v>42</v>
      </c>
      <c r="C28" s="51"/>
      <c r="D28" s="3">
        <f>SUM(D15:D27)</f>
        <v>0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</sheetData>
  <mergeCells count="16"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18:C18"/>
    <mergeCell ref="B12:D12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85"/>
  <sheetViews>
    <sheetView topLeftCell="A271" workbookViewId="0">
      <selection activeCell="E284" sqref="E284"/>
    </sheetView>
  </sheetViews>
  <sheetFormatPr defaultRowHeight="14.4" x14ac:dyDescent="0.3"/>
  <cols>
    <col min="2" max="2" width="31.5546875" customWidth="1"/>
    <col min="3" max="3" width="14.21875" customWidth="1"/>
    <col min="4" max="4" width="14.109375" customWidth="1"/>
    <col min="5" max="5" width="12.5546875" customWidth="1"/>
  </cols>
  <sheetData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30</v>
      </c>
      <c r="D6" s="5"/>
      <c r="E6" s="5"/>
    </row>
    <row r="7" spans="2:5" x14ac:dyDescent="0.3">
      <c r="B7" t="s">
        <v>163</v>
      </c>
      <c r="C7" t="s">
        <v>170</v>
      </c>
      <c r="D7" s="6">
        <v>11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v>26985.66</v>
      </c>
      <c r="D11" s="1">
        <v>20156.2</v>
      </c>
      <c r="E11" s="1">
        <v>58621.48</v>
      </c>
    </row>
    <row r="12" spans="2:5" x14ac:dyDescent="0.3">
      <c r="B12" s="49" t="s">
        <v>10</v>
      </c>
      <c r="C12" s="50"/>
      <c r="D12" s="51"/>
      <c r="E12" s="1">
        <f>C11-E11</f>
        <v>-31635.820000000003</v>
      </c>
    </row>
    <row r="14" spans="2:5" ht="28.8" x14ac:dyDescent="0.3">
      <c r="B14" s="60" t="s">
        <v>37</v>
      </c>
      <c r="C14" s="51"/>
      <c r="D14" s="21" t="s">
        <v>41</v>
      </c>
      <c r="E14" s="3"/>
    </row>
    <row r="15" spans="2:5" x14ac:dyDescent="0.3">
      <c r="B15" s="60" t="s">
        <v>38</v>
      </c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52"/>
      <c r="C17" s="51"/>
      <c r="D17" s="1">
        <v>0</v>
      </c>
      <c r="E17" s="1"/>
    </row>
    <row r="18" spans="2:5" x14ac:dyDescent="0.3">
      <c r="B18" s="60" t="s">
        <v>40</v>
      </c>
      <c r="C18" s="51"/>
      <c r="D18" s="1">
        <v>0</v>
      </c>
      <c r="E18" s="1"/>
    </row>
    <row r="19" spans="2:5" ht="15.6" x14ac:dyDescent="0.3">
      <c r="B19" s="52" t="s">
        <v>232</v>
      </c>
      <c r="C19" s="51"/>
      <c r="D19" s="32">
        <v>3744.52</v>
      </c>
      <c r="E19" s="1"/>
    </row>
    <row r="20" spans="2:5" ht="15.6" x14ac:dyDescent="0.3">
      <c r="B20" s="52" t="s">
        <v>233</v>
      </c>
      <c r="C20" s="51"/>
      <c r="D20" s="34">
        <v>165.26</v>
      </c>
      <c r="E20" s="1"/>
    </row>
    <row r="21" spans="2:5" x14ac:dyDescent="0.3">
      <c r="B21" s="61" t="s">
        <v>47</v>
      </c>
      <c r="C21" s="51"/>
      <c r="D21" s="1">
        <v>0</v>
      </c>
      <c r="E21" s="1"/>
    </row>
    <row r="22" spans="2:5" ht="15.6" x14ac:dyDescent="0.3">
      <c r="B22" s="52" t="s">
        <v>214</v>
      </c>
      <c r="C22" s="51"/>
      <c r="D22" s="35">
        <v>54147.46</v>
      </c>
      <c r="E22" s="1"/>
    </row>
    <row r="23" spans="2:5" x14ac:dyDescent="0.3">
      <c r="B23" s="52"/>
      <c r="C23" s="51"/>
      <c r="D23" s="1"/>
      <c r="E23" s="1"/>
    </row>
    <row r="24" spans="2:5" x14ac:dyDescent="0.3">
      <c r="B24" s="52"/>
      <c r="C24" s="51"/>
      <c r="D24" s="1">
        <v>0</v>
      </c>
      <c r="E24" s="1"/>
    </row>
    <row r="25" spans="2:5" x14ac:dyDescent="0.3">
      <c r="B25" s="56" t="s">
        <v>52</v>
      </c>
      <c r="C25" s="57"/>
      <c r="D25" s="1">
        <v>0</v>
      </c>
      <c r="E25" s="1"/>
    </row>
    <row r="26" spans="2:5" ht="15.6" x14ac:dyDescent="0.3">
      <c r="B26" s="52" t="s">
        <v>53</v>
      </c>
      <c r="C26" s="51"/>
      <c r="D26" s="34">
        <v>564.24</v>
      </c>
      <c r="E26" s="1"/>
    </row>
    <row r="27" spans="2:5" x14ac:dyDescent="0.3">
      <c r="B27" s="52"/>
      <c r="C27" s="51"/>
      <c r="D27" s="1">
        <v>0</v>
      </c>
      <c r="E27" s="1"/>
    </row>
    <row r="28" spans="2:5" x14ac:dyDescent="0.3">
      <c r="B28" s="59" t="s">
        <v>42</v>
      </c>
      <c r="C28" s="51"/>
      <c r="D28" s="3">
        <f>SUM(D15:D27)</f>
        <v>58621.479999999996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  <row r="35" spans="2:5" ht="15.6" x14ac:dyDescent="0.3">
      <c r="C35" s="4" t="s">
        <v>6</v>
      </c>
      <c r="D35" s="4"/>
    </row>
    <row r="36" spans="2:5" x14ac:dyDescent="0.3">
      <c r="B36" s="5" t="s">
        <v>7</v>
      </c>
      <c r="C36" s="5"/>
      <c r="D36" s="5"/>
      <c r="E36" s="5"/>
    </row>
    <row r="37" spans="2:5" x14ac:dyDescent="0.3">
      <c r="B37" s="5"/>
      <c r="C37" s="5" t="s">
        <v>30</v>
      </c>
      <c r="D37" s="5"/>
      <c r="E37" s="5"/>
    </row>
    <row r="38" spans="2:5" x14ac:dyDescent="0.3">
      <c r="B38" t="s">
        <v>163</v>
      </c>
      <c r="C38" t="s">
        <v>170</v>
      </c>
      <c r="D38" s="6">
        <v>12</v>
      </c>
    </row>
    <row r="41" spans="2:5" ht="28.8" x14ac:dyDescent="0.3">
      <c r="B41" s="1" t="s">
        <v>0</v>
      </c>
      <c r="C41" s="2" t="s">
        <v>1</v>
      </c>
      <c r="D41" s="2" t="s">
        <v>2</v>
      </c>
      <c r="E41" s="2" t="s">
        <v>3</v>
      </c>
    </row>
    <row r="42" spans="2:5" x14ac:dyDescent="0.3">
      <c r="B42" s="3" t="s">
        <v>4</v>
      </c>
      <c r="C42" s="1">
        <v>28472.58</v>
      </c>
      <c r="D42" s="1">
        <v>25551.82</v>
      </c>
      <c r="E42" s="1">
        <v>282.12</v>
      </c>
    </row>
    <row r="43" spans="2:5" x14ac:dyDescent="0.3">
      <c r="B43" s="49" t="s">
        <v>10</v>
      </c>
      <c r="C43" s="50"/>
      <c r="D43" s="51"/>
      <c r="E43" s="1">
        <f>C42-E42</f>
        <v>28190.460000000003</v>
      </c>
    </row>
    <row r="45" spans="2:5" ht="28.8" x14ac:dyDescent="0.3">
      <c r="B45" s="60" t="s">
        <v>37</v>
      </c>
      <c r="C45" s="51"/>
      <c r="D45" s="21" t="s">
        <v>41</v>
      </c>
      <c r="E45" s="3"/>
    </row>
    <row r="46" spans="2:5" x14ac:dyDescent="0.3">
      <c r="B46" s="60" t="s">
        <v>38</v>
      </c>
      <c r="C46" s="51"/>
      <c r="D46" s="1">
        <v>0</v>
      </c>
      <c r="E46" s="1"/>
    </row>
    <row r="47" spans="2:5" x14ac:dyDescent="0.3">
      <c r="B47" s="52"/>
      <c r="C47" s="51"/>
      <c r="D47" s="1">
        <v>0</v>
      </c>
      <c r="E47" s="1"/>
    </row>
    <row r="48" spans="2:5" x14ac:dyDescent="0.3">
      <c r="B48" s="52"/>
      <c r="C48" s="51"/>
      <c r="D48" s="1">
        <v>0</v>
      </c>
      <c r="E48" s="1"/>
    </row>
    <row r="49" spans="2:5" x14ac:dyDescent="0.3">
      <c r="B49" s="60" t="s">
        <v>40</v>
      </c>
      <c r="C49" s="51"/>
      <c r="D49" s="1">
        <v>0</v>
      </c>
      <c r="E49" s="1"/>
    </row>
    <row r="50" spans="2:5" x14ac:dyDescent="0.3">
      <c r="B50" s="52"/>
      <c r="C50" s="51"/>
      <c r="D50" s="1">
        <v>0</v>
      </c>
      <c r="E50" s="1"/>
    </row>
    <row r="51" spans="2:5" x14ac:dyDescent="0.3">
      <c r="B51" s="52"/>
      <c r="C51" s="51"/>
      <c r="D51" s="1">
        <v>0</v>
      </c>
      <c r="E51" s="1"/>
    </row>
    <row r="52" spans="2:5" x14ac:dyDescent="0.3">
      <c r="B52" s="61" t="s">
        <v>47</v>
      </c>
      <c r="C52" s="51"/>
      <c r="D52" s="1">
        <v>0</v>
      </c>
      <c r="E52" s="1"/>
    </row>
    <row r="53" spans="2:5" x14ac:dyDescent="0.3">
      <c r="B53" s="52"/>
      <c r="C53" s="51"/>
      <c r="D53" s="1">
        <v>0</v>
      </c>
      <c r="E53" s="1"/>
    </row>
    <row r="54" spans="2:5" x14ac:dyDescent="0.3">
      <c r="B54" s="52"/>
      <c r="C54" s="51"/>
      <c r="D54" s="1"/>
      <c r="E54" s="1"/>
    </row>
    <row r="55" spans="2:5" x14ac:dyDescent="0.3">
      <c r="B55" s="52"/>
      <c r="C55" s="51"/>
      <c r="D55" s="1">
        <v>0</v>
      </c>
      <c r="E55" s="1"/>
    </row>
    <row r="56" spans="2:5" x14ac:dyDescent="0.3">
      <c r="B56" s="56" t="s">
        <v>52</v>
      </c>
      <c r="C56" s="57"/>
      <c r="D56" s="1">
        <v>0</v>
      </c>
      <c r="E56" s="1"/>
    </row>
    <row r="57" spans="2:5" ht="15.6" x14ac:dyDescent="0.3">
      <c r="B57" s="52" t="s">
        <v>53</v>
      </c>
      <c r="C57" s="51"/>
      <c r="D57" s="34">
        <v>282.12</v>
      </c>
      <c r="E57" s="1"/>
    </row>
    <row r="58" spans="2:5" x14ac:dyDescent="0.3">
      <c r="B58" s="52"/>
      <c r="C58" s="51"/>
      <c r="D58" s="1">
        <v>0</v>
      </c>
      <c r="E58" s="1"/>
    </row>
    <row r="59" spans="2:5" x14ac:dyDescent="0.3">
      <c r="B59" s="59" t="s">
        <v>42</v>
      </c>
      <c r="C59" s="51"/>
      <c r="D59" s="3">
        <f>SUM(D46:D58)</f>
        <v>282.12</v>
      </c>
      <c r="E59" s="1"/>
    </row>
    <row r="60" spans="2:5" x14ac:dyDescent="0.3">
      <c r="B60" s="14"/>
      <c r="C60" s="14"/>
      <c r="D60" s="14"/>
      <c r="E60" s="14"/>
    </row>
    <row r="61" spans="2:5" x14ac:dyDescent="0.3">
      <c r="B61" t="s">
        <v>11</v>
      </c>
    </row>
    <row r="62" spans="2:5" x14ac:dyDescent="0.3">
      <c r="B62" t="s">
        <v>12</v>
      </c>
      <c r="C62" t="s">
        <v>13</v>
      </c>
    </row>
    <row r="66" spans="2:5" ht="15.6" x14ac:dyDescent="0.3">
      <c r="C66" s="4" t="s">
        <v>6</v>
      </c>
      <c r="D66" s="4"/>
    </row>
    <row r="67" spans="2:5" x14ac:dyDescent="0.3">
      <c r="B67" s="5" t="s">
        <v>7</v>
      </c>
      <c r="C67" s="5"/>
      <c r="D67" s="5"/>
      <c r="E67" s="5"/>
    </row>
    <row r="68" spans="2:5" x14ac:dyDescent="0.3">
      <c r="B68" s="5"/>
      <c r="C68" s="5" t="s">
        <v>30</v>
      </c>
      <c r="D68" s="5"/>
      <c r="E68" s="5"/>
    </row>
    <row r="69" spans="2:5" x14ac:dyDescent="0.3">
      <c r="B69" t="s">
        <v>163</v>
      </c>
      <c r="C69" t="s">
        <v>170</v>
      </c>
      <c r="D69" s="6">
        <v>13</v>
      </c>
    </row>
    <row r="72" spans="2:5" ht="28.8" x14ac:dyDescent="0.3">
      <c r="B72" s="1" t="s">
        <v>0</v>
      </c>
      <c r="C72" s="2" t="s">
        <v>1</v>
      </c>
      <c r="D72" s="2" t="s">
        <v>2</v>
      </c>
      <c r="E72" s="2" t="s">
        <v>3</v>
      </c>
    </row>
    <row r="73" spans="2:5" x14ac:dyDescent="0.3">
      <c r="B73" s="3" t="s">
        <v>4</v>
      </c>
      <c r="C73" s="1">
        <v>28435.919999999998</v>
      </c>
      <c r="D73" s="1">
        <v>20642.97</v>
      </c>
      <c r="E73" s="1">
        <v>42491.29</v>
      </c>
    </row>
    <row r="74" spans="2:5" x14ac:dyDescent="0.3">
      <c r="B74" s="49" t="s">
        <v>10</v>
      </c>
      <c r="C74" s="50"/>
      <c r="D74" s="51"/>
      <c r="E74" s="1">
        <f>C73-E73</f>
        <v>-14055.370000000003</v>
      </c>
    </row>
    <row r="76" spans="2:5" ht="28.8" x14ac:dyDescent="0.3">
      <c r="B76" s="60" t="s">
        <v>37</v>
      </c>
      <c r="C76" s="51"/>
      <c r="D76" s="21" t="s">
        <v>41</v>
      </c>
      <c r="E76" s="3"/>
    </row>
    <row r="77" spans="2:5" x14ac:dyDescent="0.3">
      <c r="B77" s="60" t="s">
        <v>38</v>
      </c>
      <c r="C77" s="51"/>
      <c r="D77" s="1">
        <v>0</v>
      </c>
      <c r="E77" s="1"/>
    </row>
    <row r="78" spans="2:5" ht="15.6" x14ac:dyDescent="0.3">
      <c r="B78" s="52" t="s">
        <v>197</v>
      </c>
      <c r="C78" s="51"/>
      <c r="D78" s="34">
        <v>2070</v>
      </c>
      <c r="E78" s="1"/>
    </row>
    <row r="79" spans="2:5" x14ac:dyDescent="0.3">
      <c r="B79" s="52"/>
      <c r="C79" s="51"/>
      <c r="D79" s="1">
        <v>0</v>
      </c>
      <c r="E79" s="1"/>
    </row>
    <row r="80" spans="2:5" x14ac:dyDescent="0.3">
      <c r="B80" s="60" t="s">
        <v>40</v>
      </c>
      <c r="C80" s="51"/>
      <c r="D80" s="1">
        <v>0</v>
      </c>
      <c r="E80" s="1"/>
    </row>
    <row r="81" spans="2:5" x14ac:dyDescent="0.3">
      <c r="B81" s="52"/>
      <c r="C81" s="51"/>
      <c r="D81" s="1">
        <v>0</v>
      </c>
      <c r="E81" s="1"/>
    </row>
    <row r="82" spans="2:5" x14ac:dyDescent="0.3">
      <c r="B82" s="52"/>
      <c r="C82" s="51"/>
      <c r="D82" s="1">
        <v>0</v>
      </c>
      <c r="E82" s="1"/>
    </row>
    <row r="83" spans="2:5" x14ac:dyDescent="0.3">
      <c r="B83" s="61" t="s">
        <v>47</v>
      </c>
      <c r="C83" s="51"/>
      <c r="D83" s="1">
        <v>0</v>
      </c>
      <c r="E83" s="1"/>
    </row>
    <row r="84" spans="2:5" ht="15.6" x14ac:dyDescent="0.3">
      <c r="B84" s="52" t="s">
        <v>193</v>
      </c>
      <c r="C84" s="51"/>
      <c r="D84" s="31">
        <v>40139.17</v>
      </c>
      <c r="E84" s="1"/>
    </row>
    <row r="85" spans="2:5" x14ac:dyDescent="0.3">
      <c r="B85" s="52"/>
      <c r="C85" s="51"/>
      <c r="D85" s="1"/>
      <c r="E85" s="1"/>
    </row>
    <row r="86" spans="2:5" x14ac:dyDescent="0.3">
      <c r="B86" s="52"/>
      <c r="C86" s="51"/>
      <c r="D86" s="1">
        <v>0</v>
      </c>
      <c r="E86" s="1"/>
    </row>
    <row r="87" spans="2:5" x14ac:dyDescent="0.3">
      <c r="B87" s="56" t="s">
        <v>52</v>
      </c>
      <c r="C87" s="57"/>
      <c r="D87" s="1">
        <v>0</v>
      </c>
      <c r="E87" s="1"/>
    </row>
    <row r="88" spans="2:5" ht="15.6" x14ac:dyDescent="0.3">
      <c r="B88" s="52" t="s">
        <v>53</v>
      </c>
      <c r="C88" s="51"/>
      <c r="D88" s="34">
        <v>282.12</v>
      </c>
      <c r="E88" s="1"/>
    </row>
    <row r="89" spans="2:5" x14ac:dyDescent="0.3">
      <c r="B89" s="52"/>
      <c r="C89" s="51"/>
      <c r="D89" s="1">
        <v>0</v>
      </c>
      <c r="E89" s="1"/>
    </row>
    <row r="90" spans="2:5" x14ac:dyDescent="0.3">
      <c r="B90" s="59" t="s">
        <v>42</v>
      </c>
      <c r="C90" s="51"/>
      <c r="D90" s="3">
        <f>SUM(D77:D89)</f>
        <v>42491.29</v>
      </c>
      <c r="E90" s="1"/>
    </row>
    <row r="91" spans="2:5" x14ac:dyDescent="0.3">
      <c r="B91" s="14"/>
      <c r="C91" s="14"/>
      <c r="D91" s="14"/>
      <c r="E91" s="14"/>
    </row>
    <row r="92" spans="2:5" x14ac:dyDescent="0.3">
      <c r="B92" t="s">
        <v>11</v>
      </c>
    </row>
    <row r="93" spans="2:5" x14ac:dyDescent="0.3">
      <c r="B93" t="s">
        <v>12</v>
      </c>
      <c r="C93" t="s">
        <v>13</v>
      </c>
    </row>
    <row r="98" spans="2:5" ht="15.6" x14ac:dyDescent="0.3">
      <c r="C98" s="4" t="s">
        <v>6</v>
      </c>
      <c r="D98" s="4"/>
    </row>
    <row r="99" spans="2:5" x14ac:dyDescent="0.3">
      <c r="B99" s="5" t="s">
        <v>7</v>
      </c>
      <c r="C99" s="5"/>
      <c r="D99" s="5"/>
      <c r="E99" s="5"/>
    </row>
    <row r="100" spans="2:5" x14ac:dyDescent="0.3">
      <c r="B100" s="5"/>
      <c r="C100" s="5" t="s">
        <v>30</v>
      </c>
      <c r="D100" s="5"/>
      <c r="E100" s="5"/>
    </row>
    <row r="101" spans="2:5" x14ac:dyDescent="0.3">
      <c r="B101" t="s">
        <v>163</v>
      </c>
      <c r="C101" t="s">
        <v>170</v>
      </c>
      <c r="D101" s="6">
        <v>14</v>
      </c>
    </row>
    <row r="104" spans="2:5" ht="28.8" x14ac:dyDescent="0.3">
      <c r="B104" s="1" t="s">
        <v>0</v>
      </c>
      <c r="C104" s="2" t="s">
        <v>1</v>
      </c>
      <c r="D104" s="2" t="s">
        <v>2</v>
      </c>
      <c r="E104" s="2" t="s">
        <v>3</v>
      </c>
    </row>
    <row r="105" spans="2:5" x14ac:dyDescent="0.3">
      <c r="B105" s="3" t="s">
        <v>4</v>
      </c>
      <c r="C105" s="1">
        <v>28760.34</v>
      </c>
      <c r="D105" s="1">
        <v>23979.09</v>
      </c>
      <c r="E105" s="1">
        <v>70119.97</v>
      </c>
    </row>
    <row r="106" spans="2:5" x14ac:dyDescent="0.3">
      <c r="B106" s="49" t="s">
        <v>10</v>
      </c>
      <c r="C106" s="50"/>
      <c r="D106" s="51"/>
      <c r="E106" s="1">
        <f>C105-E105</f>
        <v>-41359.630000000005</v>
      </c>
    </row>
    <row r="108" spans="2:5" ht="28.8" x14ac:dyDescent="0.3">
      <c r="B108" s="60" t="s">
        <v>37</v>
      </c>
      <c r="C108" s="51"/>
      <c r="D108" s="21" t="s">
        <v>41</v>
      </c>
      <c r="E108" s="3"/>
    </row>
    <row r="109" spans="2:5" x14ac:dyDescent="0.3">
      <c r="B109" s="60" t="s">
        <v>38</v>
      </c>
      <c r="C109" s="51"/>
      <c r="D109" s="1">
        <v>0</v>
      </c>
      <c r="E109" s="1"/>
    </row>
    <row r="110" spans="2:5" ht="15.6" x14ac:dyDescent="0.3">
      <c r="B110" s="52" t="s">
        <v>234</v>
      </c>
      <c r="C110" s="51"/>
      <c r="D110" s="32">
        <v>3534.98</v>
      </c>
      <c r="E110" s="1"/>
    </row>
    <row r="111" spans="2:5" ht="15.6" x14ac:dyDescent="0.3">
      <c r="B111" s="52" t="s">
        <v>235</v>
      </c>
      <c r="C111" s="51"/>
      <c r="D111" s="32">
        <v>6558.89</v>
      </c>
      <c r="E111" s="1"/>
    </row>
    <row r="112" spans="2:5" x14ac:dyDescent="0.3">
      <c r="B112" s="60" t="s">
        <v>40</v>
      </c>
      <c r="C112" s="51"/>
      <c r="D112" s="1">
        <v>0</v>
      </c>
      <c r="E112" s="1"/>
    </row>
    <row r="113" spans="2:5" x14ac:dyDescent="0.3">
      <c r="B113" s="52" t="s">
        <v>190</v>
      </c>
      <c r="C113" s="51"/>
      <c r="D113" s="27">
        <v>6625.6</v>
      </c>
      <c r="E113" s="1"/>
    </row>
    <row r="114" spans="2:5" x14ac:dyDescent="0.3">
      <c r="B114" s="52"/>
      <c r="C114" s="51"/>
      <c r="D114" s="1">
        <v>0</v>
      </c>
      <c r="E114" s="1"/>
    </row>
    <row r="115" spans="2:5" x14ac:dyDescent="0.3">
      <c r="B115" s="61" t="s">
        <v>47</v>
      </c>
      <c r="C115" s="51"/>
      <c r="D115" s="1">
        <v>0</v>
      </c>
      <c r="E115" s="1"/>
    </row>
    <row r="116" spans="2:5" x14ac:dyDescent="0.3">
      <c r="B116" s="52" t="s">
        <v>214</v>
      </c>
      <c r="C116" s="51"/>
      <c r="D116" s="30">
        <v>52836.26</v>
      </c>
      <c r="E116" s="1"/>
    </row>
    <row r="117" spans="2:5" x14ac:dyDescent="0.3">
      <c r="B117" s="52"/>
      <c r="C117" s="51"/>
      <c r="D117" s="1"/>
      <c r="E117" s="1"/>
    </row>
    <row r="118" spans="2:5" x14ac:dyDescent="0.3">
      <c r="B118" s="52"/>
      <c r="C118" s="51"/>
      <c r="D118" s="1">
        <v>0</v>
      </c>
      <c r="E118" s="1"/>
    </row>
    <row r="119" spans="2:5" x14ac:dyDescent="0.3">
      <c r="B119" s="56" t="s">
        <v>52</v>
      </c>
      <c r="C119" s="57"/>
      <c r="D119" s="1">
        <v>0</v>
      </c>
      <c r="E119" s="1"/>
    </row>
    <row r="120" spans="2:5" ht="15.6" x14ac:dyDescent="0.3">
      <c r="B120" s="52" t="s">
        <v>53</v>
      </c>
      <c r="C120" s="51"/>
      <c r="D120" s="34">
        <v>564.24</v>
      </c>
      <c r="E120" s="1"/>
    </row>
    <row r="121" spans="2:5" x14ac:dyDescent="0.3">
      <c r="B121" s="52"/>
      <c r="C121" s="51"/>
      <c r="D121" s="1">
        <v>0</v>
      </c>
      <c r="E121" s="1"/>
    </row>
    <row r="122" spans="2:5" x14ac:dyDescent="0.3">
      <c r="B122" s="59" t="s">
        <v>42</v>
      </c>
      <c r="C122" s="51"/>
      <c r="D122" s="3">
        <f>SUM(D109:D121)</f>
        <v>70119.970000000016</v>
      </c>
      <c r="E122" s="1"/>
    </row>
    <row r="123" spans="2:5" x14ac:dyDescent="0.3">
      <c r="B123" s="14"/>
      <c r="C123" s="14"/>
      <c r="D123" s="14"/>
      <c r="E123" s="14"/>
    </row>
    <row r="124" spans="2:5" x14ac:dyDescent="0.3">
      <c r="B124" t="s">
        <v>11</v>
      </c>
    </row>
    <row r="125" spans="2:5" x14ac:dyDescent="0.3">
      <c r="B125" t="s">
        <v>12</v>
      </c>
      <c r="C125" t="s">
        <v>13</v>
      </c>
    </row>
    <row r="130" spans="2:5" ht="15.6" x14ac:dyDescent="0.3">
      <c r="C130" s="4" t="s">
        <v>6</v>
      </c>
      <c r="D130" s="4"/>
    </row>
    <row r="131" spans="2:5" x14ac:dyDescent="0.3">
      <c r="B131" s="5" t="s">
        <v>7</v>
      </c>
      <c r="C131" s="5"/>
      <c r="D131" s="5"/>
      <c r="E131" s="5"/>
    </row>
    <row r="132" spans="2:5" x14ac:dyDescent="0.3">
      <c r="B132" s="5"/>
      <c r="C132" s="5" t="s">
        <v>30</v>
      </c>
      <c r="D132" s="5"/>
      <c r="E132" s="5"/>
    </row>
    <row r="133" spans="2:5" x14ac:dyDescent="0.3">
      <c r="B133" t="s">
        <v>163</v>
      </c>
      <c r="C133" t="s">
        <v>170</v>
      </c>
      <c r="D133" s="6">
        <v>15</v>
      </c>
    </row>
    <row r="136" spans="2:5" ht="28.8" x14ac:dyDescent="0.3">
      <c r="B136" s="1" t="s">
        <v>0</v>
      </c>
      <c r="C136" s="2" t="s">
        <v>1</v>
      </c>
      <c r="D136" s="2" t="s">
        <v>2</v>
      </c>
      <c r="E136" s="2" t="s">
        <v>3</v>
      </c>
    </row>
    <row r="137" spans="2:5" x14ac:dyDescent="0.3">
      <c r="B137" s="3" t="s">
        <v>4</v>
      </c>
      <c r="C137" s="1">
        <v>29597.759999999998</v>
      </c>
      <c r="D137" s="1">
        <v>26341.9</v>
      </c>
      <c r="E137" s="1">
        <v>101154.25</v>
      </c>
    </row>
    <row r="138" spans="2:5" x14ac:dyDescent="0.3">
      <c r="B138" s="49" t="s">
        <v>10</v>
      </c>
      <c r="C138" s="50"/>
      <c r="D138" s="51"/>
      <c r="E138" s="1">
        <f>C137-E137</f>
        <v>-71556.490000000005</v>
      </c>
    </row>
    <row r="140" spans="2:5" ht="28.8" x14ac:dyDescent="0.3">
      <c r="B140" s="60" t="s">
        <v>37</v>
      </c>
      <c r="C140" s="51"/>
      <c r="D140" s="21" t="s">
        <v>41</v>
      </c>
      <c r="E140" s="3"/>
    </row>
    <row r="141" spans="2:5" x14ac:dyDescent="0.3">
      <c r="B141" s="60" t="s">
        <v>38</v>
      </c>
      <c r="C141" s="51"/>
      <c r="D141" s="1">
        <v>0</v>
      </c>
      <c r="E141" s="1"/>
    </row>
    <row r="142" spans="2:5" x14ac:dyDescent="0.3">
      <c r="B142" s="52"/>
      <c r="C142" s="51"/>
      <c r="D142" s="1">
        <v>0</v>
      </c>
      <c r="E142" s="1"/>
    </row>
    <row r="143" spans="2:5" x14ac:dyDescent="0.3">
      <c r="B143" s="52"/>
      <c r="C143" s="51"/>
      <c r="D143" s="1">
        <v>0</v>
      </c>
      <c r="E143" s="1"/>
    </row>
    <row r="144" spans="2:5" x14ac:dyDescent="0.3">
      <c r="B144" s="60" t="s">
        <v>40</v>
      </c>
      <c r="C144" s="51"/>
      <c r="D144" s="1">
        <v>0</v>
      </c>
      <c r="E144" s="1"/>
    </row>
    <row r="145" spans="2:5" x14ac:dyDescent="0.3">
      <c r="B145" s="52"/>
      <c r="C145" s="51"/>
      <c r="D145" s="1">
        <v>0</v>
      </c>
      <c r="E145" s="1"/>
    </row>
    <row r="146" spans="2:5" x14ac:dyDescent="0.3">
      <c r="B146" s="52"/>
      <c r="C146" s="51"/>
      <c r="D146" s="1">
        <v>0</v>
      </c>
      <c r="E146" s="1"/>
    </row>
    <row r="147" spans="2:5" x14ac:dyDescent="0.3">
      <c r="B147" s="61" t="s">
        <v>47</v>
      </c>
      <c r="C147" s="51"/>
      <c r="D147" s="1">
        <v>0</v>
      </c>
      <c r="E147" s="1"/>
    </row>
    <row r="148" spans="2:5" x14ac:dyDescent="0.3">
      <c r="B148" s="52" t="s">
        <v>193</v>
      </c>
      <c r="C148" s="51"/>
      <c r="D148" s="1">
        <f>42378.83+58211.18</f>
        <v>100590.01000000001</v>
      </c>
      <c r="E148" s="1"/>
    </row>
    <row r="149" spans="2:5" x14ac:dyDescent="0.3">
      <c r="B149" s="52"/>
      <c r="C149" s="51"/>
      <c r="D149" s="1"/>
      <c r="E149" s="1"/>
    </row>
    <row r="150" spans="2:5" x14ac:dyDescent="0.3">
      <c r="B150" s="52"/>
      <c r="C150" s="51"/>
      <c r="D150" s="1">
        <v>0</v>
      </c>
      <c r="E150" s="1"/>
    </row>
    <row r="151" spans="2:5" x14ac:dyDescent="0.3">
      <c r="B151" s="56" t="s">
        <v>52</v>
      </c>
      <c r="C151" s="57"/>
      <c r="D151" s="1">
        <v>0</v>
      </c>
      <c r="E151" s="1"/>
    </row>
    <row r="152" spans="2:5" ht="15.6" x14ac:dyDescent="0.3">
      <c r="B152" s="52" t="s">
        <v>53</v>
      </c>
      <c r="C152" s="51"/>
      <c r="D152" s="31">
        <v>564.24</v>
      </c>
      <c r="E152" s="1"/>
    </row>
    <row r="153" spans="2:5" x14ac:dyDescent="0.3">
      <c r="B153" s="52"/>
      <c r="C153" s="51"/>
      <c r="D153" s="1">
        <v>0</v>
      </c>
      <c r="E153" s="1"/>
    </row>
    <row r="154" spans="2:5" x14ac:dyDescent="0.3">
      <c r="B154" s="59" t="s">
        <v>42</v>
      </c>
      <c r="C154" s="51"/>
      <c r="D154" s="3">
        <f>SUM(D141:D153)</f>
        <v>101154.25000000001</v>
      </c>
      <c r="E154" s="1"/>
    </row>
    <row r="155" spans="2:5" x14ac:dyDescent="0.3">
      <c r="B155" s="14"/>
      <c r="C155" s="14"/>
      <c r="D155" s="14"/>
      <c r="E155" s="14"/>
    </row>
    <row r="156" spans="2:5" x14ac:dyDescent="0.3">
      <c r="B156" t="s">
        <v>11</v>
      </c>
    </row>
    <row r="157" spans="2:5" x14ac:dyDescent="0.3">
      <c r="B157" t="s">
        <v>12</v>
      </c>
      <c r="C157" t="s">
        <v>13</v>
      </c>
    </row>
    <row r="162" spans="2:5" ht="15.6" x14ac:dyDescent="0.3">
      <c r="C162" s="4" t="s">
        <v>6</v>
      </c>
      <c r="D162" s="4"/>
    </row>
    <row r="163" spans="2:5" x14ac:dyDescent="0.3">
      <c r="B163" s="5" t="s">
        <v>7</v>
      </c>
      <c r="C163" s="5"/>
      <c r="D163" s="5"/>
      <c r="E163" s="5"/>
    </row>
    <row r="164" spans="2:5" x14ac:dyDescent="0.3">
      <c r="B164" s="5"/>
      <c r="C164" s="5" t="s">
        <v>30</v>
      </c>
      <c r="D164" s="5"/>
      <c r="E164" s="5"/>
    </row>
    <row r="165" spans="2:5" x14ac:dyDescent="0.3">
      <c r="B165" t="s">
        <v>163</v>
      </c>
      <c r="C165" t="s">
        <v>170</v>
      </c>
      <c r="D165" s="6">
        <v>16</v>
      </c>
    </row>
    <row r="168" spans="2:5" ht="28.8" x14ac:dyDescent="0.3">
      <c r="B168" s="1" t="s">
        <v>0</v>
      </c>
      <c r="C168" s="2" t="s">
        <v>1</v>
      </c>
      <c r="D168" s="2" t="s">
        <v>2</v>
      </c>
      <c r="E168" s="2" t="s">
        <v>3</v>
      </c>
    </row>
    <row r="169" spans="2:5" x14ac:dyDescent="0.3">
      <c r="B169" s="3" t="s">
        <v>4</v>
      </c>
      <c r="C169" s="1">
        <v>30700.080000000002</v>
      </c>
      <c r="D169" s="1">
        <v>27564.38</v>
      </c>
      <c r="E169" s="1">
        <v>60316.160000000003</v>
      </c>
    </row>
    <row r="170" spans="2:5" x14ac:dyDescent="0.3">
      <c r="B170" s="49" t="s">
        <v>10</v>
      </c>
      <c r="C170" s="50"/>
      <c r="D170" s="51"/>
      <c r="E170" s="1">
        <f>C169-E169</f>
        <v>-29616.080000000002</v>
      </c>
    </row>
    <row r="172" spans="2:5" ht="28.8" x14ac:dyDescent="0.3">
      <c r="B172" s="60" t="s">
        <v>37</v>
      </c>
      <c r="C172" s="51"/>
      <c r="D172" s="21" t="s">
        <v>41</v>
      </c>
      <c r="E172" s="3"/>
    </row>
    <row r="173" spans="2:5" x14ac:dyDescent="0.3">
      <c r="B173" s="60" t="s">
        <v>38</v>
      </c>
      <c r="C173" s="51"/>
      <c r="D173" s="1">
        <v>0</v>
      </c>
      <c r="E173" s="1"/>
    </row>
    <row r="174" spans="2:5" x14ac:dyDescent="0.3">
      <c r="B174" s="52"/>
      <c r="C174" s="51"/>
      <c r="D174" s="1">
        <v>0</v>
      </c>
      <c r="E174" s="1"/>
    </row>
    <row r="175" spans="2:5" x14ac:dyDescent="0.3">
      <c r="B175" s="52"/>
      <c r="C175" s="51"/>
      <c r="D175" s="1">
        <v>0</v>
      </c>
      <c r="E175" s="1"/>
    </row>
    <row r="176" spans="2:5" x14ac:dyDescent="0.3">
      <c r="B176" s="60" t="s">
        <v>40</v>
      </c>
      <c r="C176" s="51"/>
      <c r="D176" s="1">
        <v>0</v>
      </c>
      <c r="E176" s="1"/>
    </row>
    <row r="177" spans="2:5" ht="15.6" x14ac:dyDescent="0.3">
      <c r="B177" s="52" t="s">
        <v>236</v>
      </c>
      <c r="C177" s="51"/>
      <c r="D177" s="31">
        <v>841.17</v>
      </c>
      <c r="E177" s="1"/>
    </row>
    <row r="178" spans="2:5" x14ac:dyDescent="0.3">
      <c r="B178" s="52" t="s">
        <v>237</v>
      </c>
      <c r="C178" s="51"/>
      <c r="D178" s="1">
        <f>12224.85+2048.77</f>
        <v>14273.62</v>
      </c>
      <c r="E178" s="1"/>
    </row>
    <row r="179" spans="2:5" x14ac:dyDescent="0.3">
      <c r="B179" s="61" t="s">
        <v>47</v>
      </c>
      <c r="C179" s="51"/>
      <c r="D179" s="1">
        <v>0</v>
      </c>
      <c r="E179" s="1"/>
    </row>
    <row r="180" spans="2:5" x14ac:dyDescent="0.3">
      <c r="B180" s="52" t="s">
        <v>214</v>
      </c>
      <c r="C180" s="51"/>
      <c r="D180" s="27">
        <v>42098.05</v>
      </c>
      <c r="E180" s="1"/>
    </row>
    <row r="181" spans="2:5" x14ac:dyDescent="0.3">
      <c r="B181" s="52"/>
      <c r="C181" s="51"/>
      <c r="D181" s="1"/>
      <c r="E181" s="1"/>
    </row>
    <row r="182" spans="2:5" x14ac:dyDescent="0.3">
      <c r="B182" s="52"/>
      <c r="C182" s="51"/>
      <c r="D182" s="1">
        <v>0</v>
      </c>
      <c r="E182" s="1"/>
    </row>
    <row r="183" spans="2:5" x14ac:dyDescent="0.3">
      <c r="B183" s="56" t="s">
        <v>52</v>
      </c>
      <c r="C183" s="57"/>
      <c r="D183" s="1">
        <v>0</v>
      </c>
      <c r="E183" s="1"/>
    </row>
    <row r="184" spans="2:5" ht="15.6" x14ac:dyDescent="0.3">
      <c r="B184" s="52" t="s">
        <v>53</v>
      </c>
      <c r="C184" s="51"/>
      <c r="D184" s="31">
        <v>3103.32</v>
      </c>
      <c r="E184" s="1"/>
    </row>
    <row r="185" spans="2:5" x14ac:dyDescent="0.3">
      <c r="B185" s="52"/>
      <c r="C185" s="51"/>
      <c r="D185" s="1">
        <v>0</v>
      </c>
      <c r="E185" s="1"/>
    </row>
    <row r="186" spans="2:5" x14ac:dyDescent="0.3">
      <c r="B186" s="59" t="s">
        <v>42</v>
      </c>
      <c r="C186" s="51"/>
      <c r="D186" s="3">
        <f>SUM(D173:D185)</f>
        <v>60316.160000000003</v>
      </c>
      <c r="E186" s="1"/>
    </row>
    <row r="187" spans="2:5" x14ac:dyDescent="0.3">
      <c r="B187" s="14"/>
      <c r="C187" s="14"/>
      <c r="D187" s="14"/>
      <c r="E187" s="14"/>
    </row>
    <row r="188" spans="2:5" x14ac:dyDescent="0.3">
      <c r="B188" t="s">
        <v>11</v>
      </c>
    </row>
    <row r="189" spans="2:5" x14ac:dyDescent="0.3">
      <c r="B189" t="s">
        <v>12</v>
      </c>
      <c r="C189" t="s">
        <v>13</v>
      </c>
    </row>
    <row r="194" spans="2:5" ht="15.6" x14ac:dyDescent="0.3">
      <c r="C194" s="4" t="s">
        <v>6</v>
      </c>
      <c r="D194" s="4"/>
    </row>
    <row r="195" spans="2:5" x14ac:dyDescent="0.3">
      <c r="B195" s="5" t="s">
        <v>7</v>
      </c>
      <c r="C195" s="5"/>
      <c r="D195" s="5"/>
      <c r="E195" s="5"/>
    </row>
    <row r="196" spans="2:5" x14ac:dyDescent="0.3">
      <c r="B196" s="5"/>
      <c r="C196" s="5" t="s">
        <v>30</v>
      </c>
      <c r="D196" s="5"/>
      <c r="E196" s="5"/>
    </row>
    <row r="197" spans="2:5" x14ac:dyDescent="0.3">
      <c r="B197" t="s">
        <v>163</v>
      </c>
      <c r="C197" t="s">
        <v>170</v>
      </c>
      <c r="D197" s="6">
        <v>17</v>
      </c>
    </row>
    <row r="200" spans="2:5" ht="28.8" x14ac:dyDescent="0.3">
      <c r="B200" s="1" t="s">
        <v>0</v>
      </c>
      <c r="C200" s="2" t="s">
        <v>1</v>
      </c>
      <c r="D200" s="2" t="s">
        <v>2</v>
      </c>
      <c r="E200" s="2" t="s">
        <v>3</v>
      </c>
    </row>
    <row r="201" spans="2:5" x14ac:dyDescent="0.3">
      <c r="B201" s="3" t="s">
        <v>4</v>
      </c>
      <c r="C201" s="1">
        <v>28880.46</v>
      </c>
      <c r="D201" s="1">
        <v>25463.01</v>
      </c>
      <c r="E201" s="1">
        <v>29218.94</v>
      </c>
    </row>
    <row r="202" spans="2:5" x14ac:dyDescent="0.3">
      <c r="B202" s="49" t="s">
        <v>10</v>
      </c>
      <c r="C202" s="50"/>
      <c r="D202" s="51"/>
      <c r="E202" s="1">
        <f>C201-E201</f>
        <v>-338.47999999999956</v>
      </c>
    </row>
    <row r="204" spans="2:5" ht="28.8" x14ac:dyDescent="0.3">
      <c r="B204" s="60" t="s">
        <v>37</v>
      </c>
      <c r="C204" s="51"/>
      <c r="D204" s="21" t="s">
        <v>41</v>
      </c>
      <c r="E204" s="3"/>
    </row>
    <row r="205" spans="2:5" x14ac:dyDescent="0.3">
      <c r="B205" s="60" t="s">
        <v>38</v>
      </c>
      <c r="C205" s="51"/>
      <c r="D205" s="1">
        <v>0</v>
      </c>
      <c r="E205" s="1"/>
    </row>
    <row r="206" spans="2:5" x14ac:dyDescent="0.3">
      <c r="B206" s="52"/>
      <c r="C206" s="51"/>
      <c r="D206" s="1">
        <v>0</v>
      </c>
      <c r="E206" s="1"/>
    </row>
    <row r="207" spans="2:5" x14ac:dyDescent="0.3">
      <c r="B207" s="52"/>
      <c r="C207" s="51"/>
      <c r="D207" s="1">
        <v>0</v>
      </c>
      <c r="E207" s="1"/>
    </row>
    <row r="208" spans="2:5" x14ac:dyDescent="0.3">
      <c r="B208" s="60" t="s">
        <v>40</v>
      </c>
      <c r="C208" s="51"/>
      <c r="D208" s="1">
        <v>0</v>
      </c>
      <c r="E208" s="1"/>
    </row>
    <row r="209" spans="2:5" x14ac:dyDescent="0.3">
      <c r="B209" s="52" t="s">
        <v>113</v>
      </c>
      <c r="C209" s="51"/>
      <c r="D209" s="30">
        <v>26643.14</v>
      </c>
      <c r="E209" s="1"/>
    </row>
    <row r="210" spans="2:5" x14ac:dyDescent="0.3">
      <c r="B210" s="52" t="s">
        <v>239</v>
      </c>
      <c r="C210" s="51"/>
      <c r="D210" s="30">
        <v>1387.87</v>
      </c>
      <c r="E210" s="1"/>
    </row>
    <row r="211" spans="2:5" x14ac:dyDescent="0.3">
      <c r="B211" s="61" t="s">
        <v>47</v>
      </c>
      <c r="C211" s="51"/>
      <c r="D211" s="1">
        <v>0</v>
      </c>
      <c r="E211" s="1"/>
    </row>
    <row r="212" spans="2:5" ht="15.6" x14ac:dyDescent="0.3">
      <c r="B212" s="52" t="s">
        <v>204</v>
      </c>
      <c r="C212" s="51"/>
      <c r="D212" s="34">
        <v>286.05</v>
      </c>
      <c r="E212" s="1"/>
    </row>
    <row r="213" spans="2:5" x14ac:dyDescent="0.3">
      <c r="B213" s="52" t="s">
        <v>238</v>
      </c>
      <c r="C213" s="51"/>
      <c r="D213" s="30">
        <v>149.56</v>
      </c>
      <c r="E213" s="1"/>
    </row>
    <row r="214" spans="2:5" x14ac:dyDescent="0.3">
      <c r="B214" s="52"/>
      <c r="C214" s="51"/>
      <c r="D214" s="1">
        <v>0</v>
      </c>
      <c r="E214" s="1"/>
    </row>
    <row r="215" spans="2:5" x14ac:dyDescent="0.3">
      <c r="B215" s="56" t="s">
        <v>52</v>
      </c>
      <c r="C215" s="57"/>
      <c r="D215" s="1">
        <v>0</v>
      </c>
      <c r="E215" s="1"/>
    </row>
    <row r="216" spans="2:5" ht="15.6" x14ac:dyDescent="0.3">
      <c r="B216" s="52" t="s">
        <v>53</v>
      </c>
      <c r="C216" s="51"/>
      <c r="D216" s="34">
        <v>752.32</v>
      </c>
      <c r="E216" s="1"/>
    </row>
    <row r="217" spans="2:5" x14ac:dyDescent="0.3">
      <c r="B217" s="52"/>
      <c r="C217" s="51"/>
      <c r="D217" s="1">
        <v>0</v>
      </c>
      <c r="E217" s="1"/>
    </row>
    <row r="218" spans="2:5" x14ac:dyDescent="0.3">
      <c r="B218" s="59" t="s">
        <v>42</v>
      </c>
      <c r="C218" s="51"/>
      <c r="D218" s="3">
        <f>SUM(D205:D217)</f>
        <v>29218.94</v>
      </c>
      <c r="E218" s="1"/>
    </row>
    <row r="219" spans="2:5" x14ac:dyDescent="0.3">
      <c r="B219" s="14"/>
      <c r="C219" s="14"/>
      <c r="D219" s="14"/>
      <c r="E219" s="14"/>
    </row>
    <row r="220" spans="2:5" x14ac:dyDescent="0.3">
      <c r="B220" t="s">
        <v>11</v>
      </c>
    </row>
    <row r="221" spans="2:5" x14ac:dyDescent="0.3">
      <c r="B221" t="s">
        <v>12</v>
      </c>
      <c r="C221" t="s">
        <v>13</v>
      </c>
    </row>
    <row r="226" spans="2:5" ht="15.6" x14ac:dyDescent="0.3">
      <c r="C226" s="4" t="s">
        <v>6</v>
      </c>
      <c r="D226" s="4"/>
    </row>
    <row r="227" spans="2:5" x14ac:dyDescent="0.3">
      <c r="B227" s="5" t="s">
        <v>7</v>
      </c>
      <c r="C227" s="5"/>
      <c r="D227" s="5"/>
      <c r="E227" s="5"/>
    </row>
    <row r="228" spans="2:5" x14ac:dyDescent="0.3">
      <c r="B228" s="5"/>
      <c r="C228" s="5" t="s">
        <v>30</v>
      </c>
      <c r="D228" s="5"/>
      <c r="E228" s="5"/>
    </row>
    <row r="229" spans="2:5" x14ac:dyDescent="0.3">
      <c r="B229" t="s">
        <v>163</v>
      </c>
      <c r="C229" t="s">
        <v>170</v>
      </c>
      <c r="D229" s="6">
        <v>18</v>
      </c>
    </row>
    <row r="232" spans="2:5" ht="28.8" x14ac:dyDescent="0.3">
      <c r="B232" s="1" t="s">
        <v>0</v>
      </c>
      <c r="C232" s="2" t="s">
        <v>1</v>
      </c>
      <c r="D232" s="2" t="s">
        <v>2</v>
      </c>
      <c r="E232" s="2" t="s">
        <v>3</v>
      </c>
    </row>
    <row r="233" spans="2:5" x14ac:dyDescent="0.3">
      <c r="B233" s="3" t="s">
        <v>4</v>
      </c>
      <c r="C233" s="1">
        <v>28564.14</v>
      </c>
      <c r="D233" s="1">
        <v>22410.32</v>
      </c>
      <c r="E233" s="1">
        <v>45844.26</v>
      </c>
    </row>
    <row r="234" spans="2:5" x14ac:dyDescent="0.3">
      <c r="B234" s="49" t="s">
        <v>10</v>
      </c>
      <c r="C234" s="50"/>
      <c r="D234" s="51"/>
      <c r="E234" s="1">
        <f>C233-E233</f>
        <v>-17280.120000000003</v>
      </c>
    </row>
    <row r="236" spans="2:5" ht="28.8" x14ac:dyDescent="0.3">
      <c r="B236" s="60" t="s">
        <v>37</v>
      </c>
      <c r="C236" s="51"/>
      <c r="D236" s="21" t="s">
        <v>41</v>
      </c>
      <c r="E236" s="3"/>
    </row>
    <row r="237" spans="2:5" x14ac:dyDescent="0.3">
      <c r="B237" s="60" t="s">
        <v>38</v>
      </c>
      <c r="C237" s="51"/>
      <c r="D237" s="1">
        <v>0</v>
      </c>
      <c r="E237" s="1"/>
    </row>
    <row r="238" spans="2:5" x14ac:dyDescent="0.3">
      <c r="B238" s="52" t="s">
        <v>218</v>
      </c>
      <c r="C238" s="51"/>
      <c r="D238" s="27">
        <v>4214.72</v>
      </c>
      <c r="E238" s="1"/>
    </row>
    <row r="239" spans="2:5" x14ac:dyDescent="0.3">
      <c r="B239" s="52"/>
      <c r="C239" s="51"/>
      <c r="D239" s="1">
        <v>0</v>
      </c>
      <c r="E239" s="1"/>
    </row>
    <row r="240" spans="2:5" x14ac:dyDescent="0.3">
      <c r="B240" s="60" t="s">
        <v>40</v>
      </c>
      <c r="C240" s="51"/>
      <c r="D240" s="1">
        <v>0</v>
      </c>
      <c r="E240" s="1"/>
    </row>
    <row r="241" spans="2:5" x14ac:dyDescent="0.3">
      <c r="B241" s="52"/>
      <c r="C241" s="51"/>
      <c r="D241" s="1">
        <v>0</v>
      </c>
      <c r="E241" s="1"/>
    </row>
    <row r="242" spans="2:5" x14ac:dyDescent="0.3">
      <c r="B242" s="52"/>
      <c r="C242" s="51"/>
      <c r="D242" s="1">
        <v>0</v>
      </c>
      <c r="E242" s="1"/>
    </row>
    <row r="243" spans="2:5" x14ac:dyDescent="0.3">
      <c r="B243" s="61" t="s">
        <v>47</v>
      </c>
      <c r="C243" s="51"/>
      <c r="D243" s="1">
        <v>0</v>
      </c>
      <c r="E243" s="1"/>
    </row>
    <row r="244" spans="2:5" x14ac:dyDescent="0.3">
      <c r="B244" s="52" t="s">
        <v>214</v>
      </c>
      <c r="C244" s="51"/>
      <c r="D244" s="27">
        <v>38646.370000000003</v>
      </c>
      <c r="E244" s="1"/>
    </row>
    <row r="245" spans="2:5" x14ac:dyDescent="0.3">
      <c r="B245" s="52"/>
      <c r="C245" s="51"/>
      <c r="D245" s="1"/>
      <c r="E245" s="1"/>
    </row>
    <row r="246" spans="2:5" x14ac:dyDescent="0.3">
      <c r="B246" s="52"/>
      <c r="C246" s="51"/>
      <c r="D246" s="1">
        <v>0</v>
      </c>
      <c r="E246" s="1"/>
    </row>
    <row r="247" spans="2:5" x14ac:dyDescent="0.3">
      <c r="B247" s="56" t="s">
        <v>52</v>
      </c>
      <c r="C247" s="57"/>
      <c r="D247" s="1">
        <v>0</v>
      </c>
      <c r="E247" s="1"/>
    </row>
    <row r="248" spans="2:5" ht="15.6" x14ac:dyDescent="0.3">
      <c r="B248" s="52" t="s">
        <v>53</v>
      </c>
      <c r="C248" s="51"/>
      <c r="D248" s="34">
        <v>846.36</v>
      </c>
      <c r="E248" s="1"/>
    </row>
    <row r="249" spans="2:5" x14ac:dyDescent="0.3">
      <c r="B249" s="52" t="s">
        <v>240</v>
      </c>
      <c r="C249" s="51"/>
      <c r="D249" s="27">
        <v>2136.81</v>
      </c>
      <c r="E249" s="1"/>
    </row>
    <row r="250" spans="2:5" x14ac:dyDescent="0.3">
      <c r="B250" s="59" t="s">
        <v>42</v>
      </c>
      <c r="C250" s="51"/>
      <c r="D250" s="3">
        <f>SUM(D237:D249)</f>
        <v>45844.26</v>
      </c>
      <c r="E250" s="1"/>
    </row>
    <row r="251" spans="2:5" x14ac:dyDescent="0.3">
      <c r="B251" s="14"/>
      <c r="C251" s="14"/>
      <c r="D251" s="14"/>
      <c r="E251" s="14"/>
    </row>
    <row r="252" spans="2:5" x14ac:dyDescent="0.3">
      <c r="B252" t="s">
        <v>11</v>
      </c>
    </row>
    <row r="253" spans="2:5" x14ac:dyDescent="0.3">
      <c r="B253" t="s">
        <v>12</v>
      </c>
      <c r="C253" t="s">
        <v>13</v>
      </c>
    </row>
    <row r="258" spans="2:5" ht="15.6" x14ac:dyDescent="0.3">
      <c r="C258" s="4" t="s">
        <v>6</v>
      </c>
      <c r="D258" s="4"/>
    </row>
    <row r="259" spans="2:5" x14ac:dyDescent="0.3">
      <c r="B259" s="5" t="s">
        <v>7</v>
      </c>
      <c r="C259" s="5"/>
      <c r="D259" s="5"/>
      <c r="E259" s="5"/>
    </row>
    <row r="260" spans="2:5" x14ac:dyDescent="0.3">
      <c r="B260" s="5"/>
      <c r="C260" s="5" t="s">
        <v>30</v>
      </c>
      <c r="D260" s="5"/>
      <c r="E260" s="5"/>
    </row>
    <row r="261" spans="2:5" x14ac:dyDescent="0.3">
      <c r="B261" t="s">
        <v>163</v>
      </c>
      <c r="C261" t="s">
        <v>170</v>
      </c>
      <c r="D261" s="6">
        <v>19</v>
      </c>
    </row>
    <row r="264" spans="2:5" ht="28.8" x14ac:dyDescent="0.3">
      <c r="B264" s="1" t="s">
        <v>0</v>
      </c>
      <c r="C264" s="2" t="s">
        <v>1</v>
      </c>
      <c r="D264" s="2" t="s">
        <v>2</v>
      </c>
      <c r="E264" s="2" t="s">
        <v>3</v>
      </c>
    </row>
    <row r="265" spans="2:5" x14ac:dyDescent="0.3">
      <c r="B265" s="3" t="s">
        <v>4</v>
      </c>
      <c r="C265" s="1">
        <v>139831.38</v>
      </c>
      <c r="D265" s="1">
        <v>124952.7</v>
      </c>
      <c r="E265" s="1">
        <v>8777.4599999999991</v>
      </c>
    </row>
    <row r="266" spans="2:5" x14ac:dyDescent="0.3">
      <c r="B266" s="49" t="s">
        <v>10</v>
      </c>
      <c r="C266" s="50"/>
      <c r="D266" s="51"/>
      <c r="E266" s="1">
        <f>C265-E265</f>
        <v>131053.92000000001</v>
      </c>
    </row>
    <row r="268" spans="2:5" ht="28.8" x14ac:dyDescent="0.3">
      <c r="B268" s="60" t="s">
        <v>37</v>
      </c>
      <c r="C268" s="51"/>
      <c r="D268" s="21" t="s">
        <v>41</v>
      </c>
      <c r="E268" s="3"/>
    </row>
    <row r="269" spans="2:5" x14ac:dyDescent="0.3">
      <c r="B269" s="60" t="s">
        <v>38</v>
      </c>
      <c r="C269" s="51"/>
      <c r="D269" s="1">
        <v>0</v>
      </c>
      <c r="E269" s="1"/>
    </row>
    <row r="270" spans="2:5" x14ac:dyDescent="0.3">
      <c r="B270" s="52" t="s">
        <v>243</v>
      </c>
      <c r="C270" s="51"/>
      <c r="D270" s="27">
        <v>2632.06</v>
      </c>
      <c r="E270" s="1"/>
    </row>
    <row r="271" spans="2:5" x14ac:dyDescent="0.3">
      <c r="B271" s="52"/>
      <c r="C271" s="51"/>
      <c r="D271" s="1">
        <v>0</v>
      </c>
      <c r="E271" s="1"/>
    </row>
    <row r="272" spans="2:5" x14ac:dyDescent="0.3">
      <c r="B272" s="60" t="s">
        <v>40</v>
      </c>
      <c r="C272" s="51"/>
      <c r="D272" s="1">
        <v>0</v>
      </c>
      <c r="E272" s="1"/>
    </row>
    <row r="273" spans="2:5" x14ac:dyDescent="0.3">
      <c r="B273" s="52" t="s">
        <v>113</v>
      </c>
      <c r="C273" s="51"/>
      <c r="D273" s="30">
        <v>1832.12</v>
      </c>
      <c r="E273" s="1"/>
    </row>
    <row r="274" spans="2:5" x14ac:dyDescent="0.3">
      <c r="B274" s="52"/>
      <c r="C274" s="51"/>
      <c r="D274" s="1">
        <v>0</v>
      </c>
      <c r="E274" s="1"/>
    </row>
    <row r="275" spans="2:5" x14ac:dyDescent="0.3">
      <c r="B275" s="61" t="s">
        <v>47</v>
      </c>
      <c r="C275" s="51"/>
      <c r="D275" s="1">
        <v>0</v>
      </c>
      <c r="E275" s="1"/>
    </row>
    <row r="276" spans="2:5" x14ac:dyDescent="0.3">
      <c r="B276" s="52" t="s">
        <v>241</v>
      </c>
      <c r="C276" s="51"/>
      <c r="D276" s="1">
        <f>240.61+140.61+632.12</f>
        <v>1013.34</v>
      </c>
      <c r="E276" s="1"/>
    </row>
    <row r="277" spans="2:5" x14ac:dyDescent="0.3">
      <c r="B277" s="52" t="s">
        <v>192</v>
      </c>
      <c r="C277" s="51"/>
      <c r="D277" s="1">
        <f>1873.93</f>
        <v>1873.93</v>
      </c>
      <c r="E277" s="1"/>
    </row>
    <row r="278" spans="2:5" x14ac:dyDescent="0.3">
      <c r="B278" s="52" t="s">
        <v>242</v>
      </c>
      <c r="C278" s="51"/>
      <c r="D278" s="30">
        <v>1426.01</v>
      </c>
      <c r="E278" s="1"/>
    </row>
    <row r="279" spans="2:5" x14ac:dyDescent="0.3">
      <c r="B279" s="56" t="s">
        <v>52</v>
      </c>
      <c r="C279" s="57"/>
      <c r="D279" s="1">
        <v>0</v>
      </c>
      <c r="E279" s="1"/>
    </row>
    <row r="280" spans="2:5" x14ac:dyDescent="0.3">
      <c r="B280" s="52" t="s">
        <v>53</v>
      </c>
      <c r="C280" s="51"/>
      <c r="D280" s="1"/>
      <c r="E280" s="1"/>
    </row>
    <row r="281" spans="2:5" x14ac:dyDescent="0.3">
      <c r="B281" s="52"/>
      <c r="C281" s="51"/>
      <c r="D281" s="1">
        <v>0</v>
      </c>
      <c r="E281" s="1"/>
    </row>
    <row r="282" spans="2:5" x14ac:dyDescent="0.3">
      <c r="B282" s="59" t="s">
        <v>42</v>
      </c>
      <c r="C282" s="51"/>
      <c r="D282" s="3">
        <f>SUM(D269:D281)</f>
        <v>8777.4600000000009</v>
      </c>
      <c r="E282" s="1"/>
    </row>
    <row r="283" spans="2:5" x14ac:dyDescent="0.3">
      <c r="B283" s="14"/>
      <c r="C283" s="14"/>
      <c r="D283" s="14"/>
      <c r="E283" s="14"/>
    </row>
    <row r="284" spans="2:5" x14ac:dyDescent="0.3">
      <c r="B284" t="s">
        <v>11</v>
      </c>
    </row>
    <row r="285" spans="2:5" x14ac:dyDescent="0.3">
      <c r="B285" t="s">
        <v>12</v>
      </c>
      <c r="C285" t="s">
        <v>13</v>
      </c>
    </row>
  </sheetData>
  <mergeCells count="144">
    <mergeCell ref="B12:D12"/>
    <mergeCell ref="B14:C14"/>
    <mergeCell ref="B15:C15"/>
    <mergeCell ref="B16:C16"/>
    <mergeCell ref="B17:C17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48:C48"/>
    <mergeCell ref="B49:C49"/>
    <mergeCell ref="B50:C50"/>
    <mergeCell ref="B51:C51"/>
    <mergeCell ref="B52:C52"/>
    <mergeCell ref="B18:C18"/>
    <mergeCell ref="B43:D43"/>
    <mergeCell ref="B45:C45"/>
    <mergeCell ref="B46:C46"/>
    <mergeCell ref="B47:C47"/>
    <mergeCell ref="B58:C58"/>
    <mergeCell ref="B59:C59"/>
    <mergeCell ref="B74:D74"/>
    <mergeCell ref="B76:C76"/>
    <mergeCell ref="B77:C77"/>
    <mergeCell ref="B53:C53"/>
    <mergeCell ref="B54:C54"/>
    <mergeCell ref="B55:C55"/>
    <mergeCell ref="B56:C56"/>
    <mergeCell ref="B57:C57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109:C109"/>
    <mergeCell ref="B110:C110"/>
    <mergeCell ref="B111:C111"/>
    <mergeCell ref="B112:C112"/>
    <mergeCell ref="B113:C113"/>
    <mergeCell ref="B88:C88"/>
    <mergeCell ref="B89:C89"/>
    <mergeCell ref="B90:C90"/>
    <mergeCell ref="B106:D106"/>
    <mergeCell ref="B108:C108"/>
    <mergeCell ref="B119:C119"/>
    <mergeCell ref="B120:C120"/>
    <mergeCell ref="B121:C121"/>
    <mergeCell ref="B122:C122"/>
    <mergeCell ref="B138:D138"/>
    <mergeCell ref="B114:C114"/>
    <mergeCell ref="B115:C115"/>
    <mergeCell ref="B116:C116"/>
    <mergeCell ref="B117:C117"/>
    <mergeCell ref="B118:C118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70:D170"/>
    <mergeCell ref="B172:C172"/>
    <mergeCell ref="B173:C173"/>
    <mergeCell ref="B174:C174"/>
    <mergeCell ref="B175:C175"/>
    <mergeCell ref="B150:C150"/>
    <mergeCell ref="B151:C151"/>
    <mergeCell ref="B152:C152"/>
    <mergeCell ref="B153:C153"/>
    <mergeCell ref="B154:C154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207:C207"/>
    <mergeCell ref="B208:C208"/>
    <mergeCell ref="B209:C209"/>
    <mergeCell ref="B210:C210"/>
    <mergeCell ref="B211:C211"/>
    <mergeCell ref="B186:C186"/>
    <mergeCell ref="B202:D202"/>
    <mergeCell ref="B204:C204"/>
    <mergeCell ref="B205:C205"/>
    <mergeCell ref="B206:C206"/>
    <mergeCell ref="B217:C217"/>
    <mergeCell ref="B218:C218"/>
    <mergeCell ref="B234:D234"/>
    <mergeCell ref="B236:C236"/>
    <mergeCell ref="B237:C237"/>
    <mergeCell ref="B212:C212"/>
    <mergeCell ref="B213:C213"/>
    <mergeCell ref="B214:C214"/>
    <mergeCell ref="B215:C215"/>
    <mergeCell ref="B216:C216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69:C269"/>
    <mergeCell ref="B270:C270"/>
    <mergeCell ref="B271:C271"/>
    <mergeCell ref="B272:C272"/>
    <mergeCell ref="B273:C273"/>
    <mergeCell ref="B248:C248"/>
    <mergeCell ref="B249:C249"/>
    <mergeCell ref="B250:C250"/>
    <mergeCell ref="B266:D266"/>
    <mergeCell ref="B268:C268"/>
    <mergeCell ref="B279:C279"/>
    <mergeCell ref="B280:C280"/>
    <mergeCell ref="B281:C281"/>
    <mergeCell ref="B282:C282"/>
    <mergeCell ref="B274:C274"/>
    <mergeCell ref="B275:C275"/>
    <mergeCell ref="B276:C276"/>
    <mergeCell ref="B277:C277"/>
    <mergeCell ref="B278:C2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0"/>
  <sheetViews>
    <sheetView tabSelected="1" topLeftCell="A110" workbookViewId="0">
      <selection activeCell="B105" sqref="B105:E134"/>
    </sheetView>
  </sheetViews>
  <sheetFormatPr defaultRowHeight="14.4" x14ac:dyDescent="0.3"/>
  <cols>
    <col min="2" max="2" width="30.21875" customWidth="1"/>
    <col min="3" max="3" width="23.21875" customWidth="1"/>
    <col min="4" max="4" width="14" customWidth="1"/>
    <col min="5" max="5" width="14.5546875" customWidth="1"/>
  </cols>
  <sheetData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30</v>
      </c>
      <c r="D6" s="5"/>
      <c r="E6" s="5"/>
    </row>
    <row r="7" spans="2:5" x14ac:dyDescent="0.3">
      <c r="B7" t="s">
        <v>163</v>
      </c>
      <c r="C7" t="s">
        <v>171</v>
      </c>
      <c r="D7" s="6">
        <v>4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f>47103.24+10647.14</f>
        <v>57750.38</v>
      </c>
      <c r="D11" s="1">
        <f>39812.92+10647.14</f>
        <v>50460.06</v>
      </c>
      <c r="E11" s="1">
        <v>142645.70000000001</v>
      </c>
    </row>
    <row r="12" spans="2:5" x14ac:dyDescent="0.3">
      <c r="B12" s="49" t="s">
        <v>10</v>
      </c>
      <c r="C12" s="50"/>
      <c r="D12" s="51"/>
      <c r="E12" s="1">
        <f>C11-E11</f>
        <v>-84895.32</v>
      </c>
    </row>
    <row r="14" spans="2:5" ht="28.8" x14ac:dyDescent="0.3">
      <c r="B14" s="60" t="s">
        <v>37</v>
      </c>
      <c r="C14" s="51"/>
      <c r="D14" s="21" t="s">
        <v>41</v>
      </c>
      <c r="E14" s="3"/>
    </row>
    <row r="15" spans="2:5" x14ac:dyDescent="0.3">
      <c r="B15" s="60" t="s">
        <v>38</v>
      </c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52"/>
      <c r="C17" s="51"/>
      <c r="D17" s="1">
        <v>0</v>
      </c>
      <c r="E17" s="1"/>
    </row>
    <row r="18" spans="2:5" x14ac:dyDescent="0.3">
      <c r="B18" s="60" t="s">
        <v>40</v>
      </c>
      <c r="C18" s="51"/>
      <c r="D18" s="1">
        <v>0</v>
      </c>
      <c r="E18" s="1"/>
    </row>
    <row r="19" spans="2:5" x14ac:dyDescent="0.3">
      <c r="B19" s="52" t="s">
        <v>244</v>
      </c>
      <c r="C19" s="51"/>
      <c r="D19" s="27">
        <v>1877.51</v>
      </c>
      <c r="E19" s="1"/>
    </row>
    <row r="20" spans="2:5" ht="15.6" x14ac:dyDescent="0.3">
      <c r="B20" s="52" t="s">
        <v>94</v>
      </c>
      <c r="C20" s="51"/>
      <c r="D20" s="35">
        <v>134519</v>
      </c>
      <c r="E20" s="1"/>
    </row>
    <row r="21" spans="2:5" x14ac:dyDescent="0.3">
      <c r="B21" s="61" t="s">
        <v>47</v>
      </c>
      <c r="C21" s="51"/>
      <c r="D21" s="1">
        <v>0</v>
      </c>
      <c r="E21" s="1"/>
    </row>
    <row r="22" spans="2:5" x14ac:dyDescent="0.3">
      <c r="B22" s="52" t="s">
        <v>204</v>
      </c>
      <c r="C22" s="51"/>
      <c r="D22" s="1">
        <f>314.63+382.85+191.43</f>
        <v>888.91000000000008</v>
      </c>
      <c r="E22" s="1"/>
    </row>
    <row r="23" spans="2:5" x14ac:dyDescent="0.3">
      <c r="B23" s="52"/>
      <c r="C23" s="51"/>
      <c r="D23" s="1"/>
      <c r="E23" s="1"/>
    </row>
    <row r="24" spans="2:5" x14ac:dyDescent="0.3">
      <c r="B24" s="52"/>
      <c r="C24" s="51"/>
      <c r="D24" s="1">
        <v>0</v>
      </c>
      <c r="E24" s="1"/>
    </row>
    <row r="25" spans="2:5" x14ac:dyDescent="0.3">
      <c r="B25" s="56" t="s">
        <v>52</v>
      </c>
      <c r="C25" s="57"/>
      <c r="D25" s="1">
        <v>0</v>
      </c>
      <c r="E25" s="1"/>
    </row>
    <row r="26" spans="2:5" x14ac:dyDescent="0.3">
      <c r="B26" s="52" t="s">
        <v>53</v>
      </c>
      <c r="C26" s="51"/>
      <c r="D26" s="1">
        <f>1504.64+3855.64</f>
        <v>5360.28</v>
      </c>
      <c r="E26" s="1"/>
    </row>
    <row r="27" spans="2:5" x14ac:dyDescent="0.3">
      <c r="B27" s="52"/>
      <c r="C27" s="51"/>
      <c r="D27" s="1">
        <v>0</v>
      </c>
      <c r="E27" s="1"/>
    </row>
    <row r="28" spans="2:5" x14ac:dyDescent="0.3">
      <c r="B28" s="59" t="s">
        <v>42</v>
      </c>
      <c r="C28" s="51"/>
      <c r="D28" s="3">
        <f>SUM(D15:D27)</f>
        <v>142645.70000000001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  <row r="37" spans="2:5" ht="15.6" x14ac:dyDescent="0.3">
      <c r="C37" s="4" t="s">
        <v>6</v>
      </c>
      <c r="D37" s="4"/>
    </row>
    <row r="38" spans="2:5" x14ac:dyDescent="0.3">
      <c r="B38" s="5" t="s">
        <v>7</v>
      </c>
      <c r="C38" s="5"/>
      <c r="D38" s="5"/>
      <c r="E38" s="5"/>
    </row>
    <row r="39" spans="2:5" x14ac:dyDescent="0.3">
      <c r="B39" s="5"/>
      <c r="C39" s="5" t="s">
        <v>30</v>
      </c>
      <c r="D39" s="5"/>
      <c r="E39" s="5"/>
    </row>
    <row r="40" spans="2:5" x14ac:dyDescent="0.3">
      <c r="B40" t="s">
        <v>163</v>
      </c>
      <c r="C40" t="s">
        <v>171</v>
      </c>
      <c r="D40" s="6">
        <v>6</v>
      </c>
    </row>
    <row r="43" spans="2:5" ht="28.8" x14ac:dyDescent="0.3">
      <c r="B43" s="1" t="s">
        <v>0</v>
      </c>
      <c r="C43" s="2" t="s">
        <v>1</v>
      </c>
      <c r="D43" s="2" t="s">
        <v>2</v>
      </c>
      <c r="E43" s="2" t="s">
        <v>3</v>
      </c>
    </row>
    <row r="44" spans="2:5" x14ac:dyDescent="0.3">
      <c r="B44" s="3" t="s">
        <v>4</v>
      </c>
      <c r="C44" s="1">
        <f>82530.66+12284.41</f>
        <v>94815.07</v>
      </c>
      <c r="D44" s="1">
        <f>60362.62+12284.41</f>
        <v>72647.03</v>
      </c>
      <c r="E44" s="1">
        <v>180239.95</v>
      </c>
    </row>
    <row r="45" spans="2:5" x14ac:dyDescent="0.3">
      <c r="B45" s="49" t="s">
        <v>10</v>
      </c>
      <c r="C45" s="50"/>
      <c r="D45" s="51"/>
      <c r="E45" s="1">
        <f>C44-E44</f>
        <v>-85424.88</v>
      </c>
    </row>
    <row r="47" spans="2:5" ht="28.8" x14ac:dyDescent="0.3">
      <c r="B47" s="60" t="s">
        <v>37</v>
      </c>
      <c r="C47" s="51"/>
      <c r="D47" s="21" t="s">
        <v>41</v>
      </c>
      <c r="E47" s="3"/>
    </row>
    <row r="48" spans="2:5" x14ac:dyDescent="0.3">
      <c r="B48" s="60" t="s">
        <v>38</v>
      </c>
      <c r="C48" s="51"/>
      <c r="D48" s="1">
        <v>0</v>
      </c>
      <c r="E48" s="1"/>
    </row>
    <row r="49" spans="2:5" ht="15.6" x14ac:dyDescent="0.3">
      <c r="B49" s="52" t="s">
        <v>246</v>
      </c>
      <c r="C49" s="51"/>
      <c r="D49" s="34">
        <v>10627.41</v>
      </c>
      <c r="E49" s="1"/>
    </row>
    <row r="50" spans="2:5" ht="30.6" customHeight="1" x14ac:dyDescent="0.3">
      <c r="B50" s="52" t="s">
        <v>247</v>
      </c>
      <c r="C50" s="51"/>
      <c r="D50" s="35">
        <v>95871.17</v>
      </c>
      <c r="E50" s="1"/>
    </row>
    <row r="51" spans="2:5" ht="30.6" customHeight="1" x14ac:dyDescent="0.3">
      <c r="B51" s="68" t="s">
        <v>248</v>
      </c>
      <c r="C51" s="65"/>
      <c r="D51" s="35">
        <f>8802.17+19943.86</f>
        <v>28746.03</v>
      </c>
      <c r="E51" s="1"/>
    </row>
    <row r="52" spans="2:5" x14ac:dyDescent="0.3">
      <c r="B52" s="60" t="s">
        <v>40</v>
      </c>
      <c r="C52" s="51"/>
      <c r="D52" s="1">
        <v>0</v>
      </c>
      <c r="E52" s="1"/>
    </row>
    <row r="53" spans="2:5" ht="15.6" x14ac:dyDescent="0.3">
      <c r="B53" s="52" t="s">
        <v>249</v>
      </c>
      <c r="C53" s="51"/>
      <c r="D53" s="32">
        <v>5851.38</v>
      </c>
      <c r="E53" s="1"/>
    </row>
    <row r="54" spans="2:5" ht="15.6" x14ac:dyDescent="0.3">
      <c r="B54" s="52" t="s">
        <v>113</v>
      </c>
      <c r="C54" s="51"/>
      <c r="D54" s="35">
        <v>38010.300000000003</v>
      </c>
      <c r="E54" s="1"/>
    </row>
    <row r="55" spans="2:5" x14ac:dyDescent="0.3">
      <c r="B55" s="61" t="s">
        <v>47</v>
      </c>
      <c r="C55" s="51"/>
      <c r="D55" s="1">
        <v>0</v>
      </c>
      <c r="E55" s="1"/>
    </row>
    <row r="56" spans="2:5" ht="15.6" x14ac:dyDescent="0.3">
      <c r="B56" s="52" t="s">
        <v>245</v>
      </c>
      <c r="C56" s="51"/>
      <c r="D56" s="34">
        <v>1133.6600000000001</v>
      </c>
      <c r="E56" s="1"/>
    </row>
    <row r="57" spans="2:5" x14ac:dyDescent="0.3">
      <c r="B57" s="52"/>
      <c r="C57" s="51"/>
      <c r="D57" s="1"/>
      <c r="E57" s="1"/>
    </row>
    <row r="58" spans="2:5" x14ac:dyDescent="0.3">
      <c r="B58" s="52"/>
      <c r="C58" s="51"/>
      <c r="D58" s="1">
        <v>0</v>
      </c>
      <c r="E58" s="1"/>
    </row>
    <row r="59" spans="2:5" x14ac:dyDescent="0.3">
      <c r="B59" s="56" t="s">
        <v>52</v>
      </c>
      <c r="C59" s="57"/>
      <c r="D59" s="1">
        <v>0</v>
      </c>
      <c r="E59" s="1"/>
    </row>
    <row r="60" spans="2:5" x14ac:dyDescent="0.3">
      <c r="B60" s="52" t="s">
        <v>53</v>
      </c>
      <c r="C60" s="51"/>
      <c r="D60" s="1"/>
      <c r="E60" s="1"/>
    </row>
    <row r="61" spans="2:5" x14ac:dyDescent="0.3">
      <c r="B61" s="52"/>
      <c r="C61" s="51"/>
      <c r="D61" s="1">
        <v>0</v>
      </c>
      <c r="E61" s="1"/>
    </row>
    <row r="62" spans="2:5" x14ac:dyDescent="0.3">
      <c r="B62" s="59" t="s">
        <v>42</v>
      </c>
      <c r="C62" s="51"/>
      <c r="D62" s="3">
        <f>SUM(D48:D61)</f>
        <v>180239.94999999998</v>
      </c>
      <c r="E62" s="1"/>
    </row>
    <row r="63" spans="2:5" x14ac:dyDescent="0.3">
      <c r="B63" s="14"/>
      <c r="C63" s="14"/>
      <c r="D63" s="14"/>
      <c r="E63" s="14"/>
    </row>
    <row r="64" spans="2:5" x14ac:dyDescent="0.3">
      <c r="B64" t="s">
        <v>11</v>
      </c>
    </row>
    <row r="65" spans="2:5" x14ac:dyDescent="0.3">
      <c r="B65" t="s">
        <v>12</v>
      </c>
      <c r="C65" t="s">
        <v>13</v>
      </c>
    </row>
    <row r="71" spans="2:5" ht="15.6" x14ac:dyDescent="0.3">
      <c r="C71" s="4" t="s">
        <v>6</v>
      </c>
      <c r="D71" s="4"/>
    </row>
    <row r="72" spans="2:5" x14ac:dyDescent="0.3">
      <c r="B72" s="5" t="s">
        <v>7</v>
      </c>
      <c r="C72" s="5"/>
      <c r="D72" s="5"/>
      <c r="E72" s="5"/>
    </row>
    <row r="73" spans="2:5" x14ac:dyDescent="0.3">
      <c r="B73" s="5"/>
      <c r="C73" s="5" t="s">
        <v>30</v>
      </c>
      <c r="D73" s="5"/>
      <c r="E73" s="5"/>
    </row>
    <row r="74" spans="2:5" x14ac:dyDescent="0.3">
      <c r="B74" t="s">
        <v>163</v>
      </c>
      <c r="C74" t="s">
        <v>171</v>
      </c>
      <c r="D74" s="6">
        <v>7</v>
      </c>
    </row>
    <row r="77" spans="2:5" ht="28.8" x14ac:dyDescent="0.3">
      <c r="B77" s="1" t="s">
        <v>0</v>
      </c>
      <c r="C77" s="2" t="s">
        <v>1</v>
      </c>
      <c r="D77" s="2" t="s">
        <v>2</v>
      </c>
      <c r="E77" s="2" t="s">
        <v>3</v>
      </c>
    </row>
    <row r="78" spans="2:5" x14ac:dyDescent="0.3">
      <c r="B78" s="3" t="s">
        <v>4</v>
      </c>
      <c r="C78" s="1">
        <f>90012.53+4803.96</f>
        <v>94816.49</v>
      </c>
      <c r="D78" s="1">
        <f>71067.28+4803.96</f>
        <v>75871.240000000005</v>
      </c>
      <c r="E78" s="1">
        <v>155718.54999999999</v>
      </c>
    </row>
    <row r="79" spans="2:5" x14ac:dyDescent="0.3">
      <c r="B79" s="49" t="s">
        <v>10</v>
      </c>
      <c r="C79" s="50"/>
      <c r="D79" s="51"/>
      <c r="E79" s="1">
        <f>C78-E78</f>
        <v>-60902.059999999983</v>
      </c>
    </row>
    <row r="81" spans="2:5" ht="28.8" x14ac:dyDescent="0.3">
      <c r="B81" s="60" t="s">
        <v>37</v>
      </c>
      <c r="C81" s="51"/>
      <c r="D81" s="21" t="s">
        <v>41</v>
      </c>
      <c r="E81" s="3"/>
    </row>
    <row r="82" spans="2:5" x14ac:dyDescent="0.3">
      <c r="B82" s="60" t="s">
        <v>38</v>
      </c>
      <c r="C82" s="51"/>
      <c r="D82" s="1">
        <v>0</v>
      </c>
      <c r="E82" s="1"/>
    </row>
    <row r="83" spans="2:5" ht="15.6" x14ac:dyDescent="0.3">
      <c r="B83" s="52" t="s">
        <v>255</v>
      </c>
      <c r="C83" s="51"/>
      <c r="D83" s="32">
        <v>116920.93</v>
      </c>
      <c r="E83" s="1"/>
    </row>
    <row r="84" spans="2:5" x14ac:dyDescent="0.3">
      <c r="B84" s="52"/>
      <c r="C84" s="51"/>
      <c r="D84" s="1">
        <v>0</v>
      </c>
      <c r="E84" s="1"/>
    </row>
    <row r="85" spans="2:5" x14ac:dyDescent="0.3">
      <c r="B85" s="60" t="s">
        <v>40</v>
      </c>
      <c r="C85" s="51"/>
      <c r="D85" s="1">
        <v>0</v>
      </c>
      <c r="E85" s="1"/>
    </row>
    <row r="86" spans="2:5" ht="15.6" x14ac:dyDescent="0.3">
      <c r="B86" s="52" t="s">
        <v>252</v>
      </c>
      <c r="C86" s="51"/>
      <c r="D86" s="34">
        <f>2325.5+1634.24</f>
        <v>3959.74</v>
      </c>
      <c r="E86" s="1"/>
    </row>
    <row r="87" spans="2:5" ht="15.6" x14ac:dyDescent="0.3">
      <c r="B87" s="52" t="s">
        <v>250</v>
      </c>
      <c r="C87" s="51"/>
      <c r="D87" s="32">
        <v>6053.85</v>
      </c>
      <c r="E87" s="1"/>
    </row>
    <row r="88" spans="2:5" ht="15.6" x14ac:dyDescent="0.3">
      <c r="B88" s="52" t="s">
        <v>251</v>
      </c>
      <c r="C88" s="51"/>
      <c r="D88" s="32">
        <v>1739.12</v>
      </c>
      <c r="E88" s="1"/>
    </row>
    <row r="89" spans="2:5" x14ac:dyDescent="0.3">
      <c r="B89" s="61" t="s">
        <v>47</v>
      </c>
      <c r="C89" s="51"/>
      <c r="D89" s="1">
        <v>0</v>
      </c>
      <c r="E89" s="1"/>
    </row>
    <row r="90" spans="2:5" ht="15.6" x14ac:dyDescent="0.3">
      <c r="B90" s="52" t="s">
        <v>253</v>
      </c>
      <c r="C90" s="51"/>
      <c r="D90" s="34">
        <v>1353.67</v>
      </c>
      <c r="E90" s="1"/>
    </row>
    <row r="91" spans="2:5" ht="15.6" x14ac:dyDescent="0.3">
      <c r="B91" s="52" t="s">
        <v>204</v>
      </c>
      <c r="C91" s="51"/>
      <c r="D91" s="34">
        <v>145.44999999999999</v>
      </c>
      <c r="E91" s="1"/>
    </row>
    <row r="92" spans="2:5" ht="15.6" x14ac:dyDescent="0.3">
      <c r="B92" s="52" t="s">
        <v>254</v>
      </c>
      <c r="C92" s="51"/>
      <c r="D92" s="34">
        <v>3257.37</v>
      </c>
      <c r="E92" s="1"/>
    </row>
    <row r="93" spans="2:5" x14ac:dyDescent="0.3">
      <c r="B93" s="56" t="s">
        <v>52</v>
      </c>
      <c r="C93" s="57"/>
      <c r="D93" s="1">
        <v>0</v>
      </c>
      <c r="E93" s="1"/>
    </row>
    <row r="94" spans="2:5" x14ac:dyDescent="0.3">
      <c r="B94" s="52" t="s">
        <v>53</v>
      </c>
      <c r="C94" s="51"/>
      <c r="D94" s="1">
        <f>5374.68+11511.68</f>
        <v>16886.36</v>
      </c>
      <c r="E94" s="1"/>
    </row>
    <row r="95" spans="2:5" ht="15.6" x14ac:dyDescent="0.3">
      <c r="B95" s="52" t="s">
        <v>198</v>
      </c>
      <c r="C95" s="51"/>
      <c r="D95" s="37">
        <f>10804.91/2</f>
        <v>5402.4549999999999</v>
      </c>
      <c r="E95" s="1"/>
    </row>
    <row r="96" spans="2:5" x14ac:dyDescent="0.3">
      <c r="B96" s="59" t="s">
        <v>42</v>
      </c>
      <c r="C96" s="51"/>
      <c r="D96" s="38">
        <f>SUM(D82:D95)</f>
        <v>155718.94499999998</v>
      </c>
      <c r="E96" s="1"/>
    </row>
    <row r="97" spans="2:5" x14ac:dyDescent="0.3">
      <c r="B97" s="14"/>
      <c r="C97" s="14"/>
      <c r="D97" s="14"/>
      <c r="E97" s="14"/>
    </row>
    <row r="98" spans="2:5" x14ac:dyDescent="0.3">
      <c r="B98" t="s">
        <v>11</v>
      </c>
    </row>
    <row r="99" spans="2:5" x14ac:dyDescent="0.3">
      <c r="B99" t="s">
        <v>12</v>
      </c>
      <c r="C99" t="s">
        <v>13</v>
      </c>
    </row>
    <row r="105" spans="2:5" ht="15.6" x14ac:dyDescent="0.3">
      <c r="C105" s="4" t="s">
        <v>6</v>
      </c>
      <c r="D105" s="4"/>
    </row>
    <row r="106" spans="2:5" x14ac:dyDescent="0.3">
      <c r="B106" s="5" t="s">
        <v>7</v>
      </c>
      <c r="C106" s="5"/>
      <c r="D106" s="5"/>
      <c r="E106" s="5"/>
    </row>
    <row r="107" spans="2:5" x14ac:dyDescent="0.3">
      <c r="B107" s="5"/>
      <c r="C107" s="5" t="s">
        <v>30</v>
      </c>
      <c r="D107" s="5"/>
      <c r="E107" s="5"/>
    </row>
    <row r="108" spans="2:5" x14ac:dyDescent="0.3">
      <c r="B108" t="s">
        <v>163</v>
      </c>
      <c r="C108" t="s">
        <v>171</v>
      </c>
      <c r="D108" s="6">
        <v>9</v>
      </c>
    </row>
    <row r="111" spans="2:5" ht="28.8" x14ac:dyDescent="0.3">
      <c r="B111" s="1" t="s">
        <v>0</v>
      </c>
      <c r="C111" s="2" t="s">
        <v>1</v>
      </c>
      <c r="D111" s="2" t="s">
        <v>2</v>
      </c>
      <c r="E111" s="2" t="s">
        <v>3</v>
      </c>
    </row>
    <row r="112" spans="2:5" x14ac:dyDescent="0.3">
      <c r="B112" s="3" t="s">
        <v>4</v>
      </c>
      <c r="C112" s="1">
        <f>84322.26+7833.39</f>
        <v>92155.65</v>
      </c>
      <c r="D112" s="1">
        <f>62739.5+7833.39</f>
        <v>70572.89</v>
      </c>
      <c r="E112" s="1">
        <v>177122.73</v>
      </c>
    </row>
    <row r="113" spans="2:5" x14ac:dyDescent="0.3">
      <c r="B113" s="49" t="s">
        <v>10</v>
      </c>
      <c r="C113" s="50"/>
      <c r="D113" s="51"/>
      <c r="E113" s="1">
        <f>C112-E112</f>
        <v>-84967.080000000016</v>
      </c>
    </row>
    <row r="115" spans="2:5" ht="28.8" x14ac:dyDescent="0.3">
      <c r="B115" s="60" t="s">
        <v>37</v>
      </c>
      <c r="C115" s="51"/>
      <c r="D115" s="21" t="s">
        <v>41</v>
      </c>
      <c r="E115" s="3"/>
    </row>
    <row r="116" spans="2:5" x14ac:dyDescent="0.3">
      <c r="B116" s="60" t="s">
        <v>38</v>
      </c>
      <c r="C116" s="51"/>
      <c r="D116" s="1">
        <v>0</v>
      </c>
      <c r="E116" s="1"/>
    </row>
    <row r="117" spans="2:5" x14ac:dyDescent="0.3">
      <c r="B117" s="52" t="s">
        <v>258</v>
      </c>
      <c r="C117" s="51"/>
      <c r="D117" s="33">
        <v>6303.44</v>
      </c>
      <c r="E117" s="1"/>
    </row>
    <row r="118" spans="2:5" ht="15.6" x14ac:dyDescent="0.3">
      <c r="B118" s="52" t="s">
        <v>263</v>
      </c>
      <c r="C118" s="51"/>
      <c r="D118" s="32">
        <v>7962.02</v>
      </c>
      <c r="E118" s="1"/>
    </row>
    <row r="119" spans="2:5" x14ac:dyDescent="0.3">
      <c r="B119" s="60" t="s">
        <v>40</v>
      </c>
      <c r="C119" s="51"/>
      <c r="D119" s="1">
        <v>0</v>
      </c>
      <c r="E119" s="1"/>
    </row>
    <row r="120" spans="2:5" x14ac:dyDescent="0.3">
      <c r="B120" s="52" t="s">
        <v>260</v>
      </c>
      <c r="C120" s="51"/>
      <c r="D120" s="27">
        <f>7280.3+2933.86</f>
        <v>10214.16</v>
      </c>
      <c r="E120" s="1"/>
    </row>
    <row r="121" spans="2:5" x14ac:dyDescent="0.3">
      <c r="B121" s="52" t="s">
        <v>227</v>
      </c>
      <c r="C121" s="51"/>
      <c r="D121" s="27">
        <v>32879.879999999997</v>
      </c>
      <c r="E121" s="1"/>
    </row>
    <row r="122" spans="2:5" x14ac:dyDescent="0.3">
      <c r="B122" s="66" t="s">
        <v>259</v>
      </c>
      <c r="C122" s="51"/>
      <c r="D122" s="27">
        <v>7518.88</v>
      </c>
      <c r="E122" s="1"/>
    </row>
    <row r="123" spans="2:5" ht="15.6" x14ac:dyDescent="0.3">
      <c r="B123" s="67" t="s">
        <v>261</v>
      </c>
      <c r="C123" s="51"/>
      <c r="D123" s="32">
        <f>10837.01+1277.25</f>
        <v>12114.26</v>
      </c>
      <c r="E123" s="1"/>
    </row>
    <row r="124" spans="2:5" x14ac:dyDescent="0.3">
      <c r="B124" s="61" t="s">
        <v>47</v>
      </c>
      <c r="C124" s="51"/>
      <c r="D124" s="1">
        <v>0</v>
      </c>
      <c r="E124" s="1"/>
    </row>
    <row r="125" spans="2:5" ht="15.6" x14ac:dyDescent="0.3">
      <c r="B125" s="52" t="s">
        <v>256</v>
      </c>
      <c r="C125" s="51"/>
      <c r="D125" s="34">
        <v>78394.649999999994</v>
      </c>
      <c r="E125" s="1"/>
    </row>
    <row r="126" spans="2:5" x14ac:dyDescent="0.3">
      <c r="B126" s="52" t="s">
        <v>262</v>
      </c>
      <c r="C126" s="51"/>
      <c r="D126" s="27">
        <v>105.05</v>
      </c>
      <c r="E126" s="1"/>
    </row>
    <row r="127" spans="2:5" x14ac:dyDescent="0.3">
      <c r="B127" s="52"/>
      <c r="C127" s="51"/>
      <c r="D127" s="1">
        <v>0</v>
      </c>
      <c r="E127" s="1"/>
    </row>
    <row r="128" spans="2:5" x14ac:dyDescent="0.3">
      <c r="B128" s="56" t="s">
        <v>52</v>
      </c>
      <c r="C128" s="57"/>
      <c r="D128" s="1">
        <v>0</v>
      </c>
      <c r="E128" s="1"/>
    </row>
    <row r="129" spans="2:5" x14ac:dyDescent="0.3">
      <c r="B129" s="52" t="s">
        <v>53</v>
      </c>
      <c r="C129" s="51"/>
      <c r="D129" s="1">
        <f>5802.66+11511.28</f>
        <v>17313.940000000002</v>
      </c>
      <c r="E129" s="1"/>
    </row>
    <row r="130" spans="2:5" x14ac:dyDescent="0.3">
      <c r="B130" s="52" t="s">
        <v>257</v>
      </c>
      <c r="C130" s="51"/>
      <c r="D130" s="27">
        <v>4316.45</v>
      </c>
      <c r="E130" s="1"/>
    </row>
    <row r="131" spans="2:5" x14ac:dyDescent="0.3">
      <c r="B131" s="59" t="s">
        <v>42</v>
      </c>
      <c r="C131" s="51"/>
      <c r="D131" s="3">
        <f>SUM(D116:D130)</f>
        <v>177122.72999999998</v>
      </c>
      <c r="E131" s="1"/>
    </row>
    <row r="132" spans="2:5" x14ac:dyDescent="0.3">
      <c r="B132" s="14"/>
      <c r="C132" s="14"/>
      <c r="D132" s="14"/>
      <c r="E132" s="14"/>
    </row>
    <row r="133" spans="2:5" x14ac:dyDescent="0.3">
      <c r="B133" t="s">
        <v>11</v>
      </c>
    </row>
    <row r="134" spans="2:5" x14ac:dyDescent="0.3">
      <c r="B134" t="s">
        <v>12</v>
      </c>
      <c r="C134" t="s">
        <v>13</v>
      </c>
    </row>
    <row r="140" spans="2:5" ht="15.6" x14ac:dyDescent="0.3">
      <c r="C140" s="4" t="s">
        <v>6</v>
      </c>
      <c r="D140" s="4"/>
    </row>
    <row r="141" spans="2:5" x14ac:dyDescent="0.3">
      <c r="B141" s="5" t="s">
        <v>7</v>
      </c>
      <c r="C141" s="5"/>
      <c r="D141" s="5"/>
      <c r="E141" s="5"/>
    </row>
    <row r="142" spans="2:5" x14ac:dyDescent="0.3">
      <c r="B142" s="5"/>
      <c r="C142" s="5" t="s">
        <v>30</v>
      </c>
      <c r="D142" s="5"/>
      <c r="E142" s="5"/>
    </row>
    <row r="143" spans="2:5" x14ac:dyDescent="0.3">
      <c r="B143" t="s">
        <v>163</v>
      </c>
      <c r="C143" t="s">
        <v>171</v>
      </c>
      <c r="D143" s="6">
        <v>13</v>
      </c>
    </row>
    <row r="146" spans="2:5" ht="28.8" x14ac:dyDescent="0.3">
      <c r="B146" s="1" t="s">
        <v>0</v>
      </c>
      <c r="C146" s="2" t="s">
        <v>1</v>
      </c>
      <c r="D146" s="2" t="s">
        <v>2</v>
      </c>
      <c r="E146" s="2" t="s">
        <v>3</v>
      </c>
    </row>
    <row r="147" spans="2:5" x14ac:dyDescent="0.3">
      <c r="B147" s="3" t="s">
        <v>4</v>
      </c>
      <c r="C147" s="1">
        <v>143371.85999999999</v>
      </c>
      <c r="D147" s="1">
        <v>121886.08</v>
      </c>
      <c r="E147" s="1">
        <v>46420.37</v>
      </c>
    </row>
    <row r="148" spans="2:5" x14ac:dyDescent="0.3">
      <c r="B148" s="49" t="s">
        <v>10</v>
      </c>
      <c r="C148" s="50"/>
      <c r="D148" s="51"/>
      <c r="E148" s="1">
        <f>C147-E147</f>
        <v>96951.489999999991</v>
      </c>
    </row>
    <row r="150" spans="2:5" ht="28.8" x14ac:dyDescent="0.3">
      <c r="B150" s="60" t="s">
        <v>37</v>
      </c>
      <c r="C150" s="51"/>
      <c r="D150" s="21" t="s">
        <v>41</v>
      </c>
      <c r="E150" s="3"/>
    </row>
    <row r="151" spans="2:5" x14ac:dyDescent="0.3">
      <c r="B151" s="60" t="s">
        <v>38</v>
      </c>
      <c r="C151" s="51"/>
      <c r="D151" s="1">
        <v>0</v>
      </c>
      <c r="E151" s="1"/>
    </row>
    <row r="152" spans="2:5" x14ac:dyDescent="0.3">
      <c r="B152" s="52"/>
      <c r="C152" s="51"/>
      <c r="D152" s="1">
        <v>0</v>
      </c>
      <c r="E152" s="1"/>
    </row>
    <row r="153" spans="2:5" x14ac:dyDescent="0.3">
      <c r="B153" s="52"/>
      <c r="C153" s="51"/>
      <c r="D153" s="1">
        <v>0</v>
      </c>
      <c r="E153" s="1"/>
    </row>
    <row r="154" spans="2:5" x14ac:dyDescent="0.3">
      <c r="B154" s="60" t="s">
        <v>40</v>
      </c>
      <c r="C154" s="51"/>
      <c r="D154" s="1">
        <v>0</v>
      </c>
      <c r="E154" s="1"/>
    </row>
    <row r="155" spans="2:5" x14ac:dyDescent="0.3">
      <c r="B155" s="52" t="s">
        <v>264</v>
      </c>
      <c r="C155" s="51"/>
      <c r="D155" s="27">
        <v>21131.95</v>
      </c>
      <c r="E155" s="1"/>
    </row>
    <row r="156" spans="2:5" x14ac:dyDescent="0.3">
      <c r="B156" s="52" t="s">
        <v>266</v>
      </c>
      <c r="C156" s="51"/>
      <c r="D156" s="33">
        <f>18779.56+3372.52</f>
        <v>22152.080000000002</v>
      </c>
      <c r="E156" s="1"/>
    </row>
    <row r="157" spans="2:5" x14ac:dyDescent="0.3">
      <c r="B157" s="29" t="s">
        <v>265</v>
      </c>
      <c r="C157" s="24"/>
      <c r="D157" s="27">
        <f>636.96+658.32</f>
        <v>1295.2800000000002</v>
      </c>
      <c r="E157" s="1"/>
    </row>
    <row r="158" spans="2:5" x14ac:dyDescent="0.3">
      <c r="B158" s="61" t="s">
        <v>47</v>
      </c>
      <c r="C158" s="51"/>
      <c r="D158" s="1">
        <v>0</v>
      </c>
      <c r="E158" s="1"/>
    </row>
    <row r="159" spans="2:5" x14ac:dyDescent="0.3">
      <c r="B159" s="52" t="s">
        <v>204</v>
      </c>
      <c r="C159" s="51"/>
      <c r="D159" s="1">
        <f>240.61+143.03+290.89+382.85</f>
        <v>1057.3800000000001</v>
      </c>
      <c r="E159" s="1"/>
    </row>
    <row r="160" spans="2:5" x14ac:dyDescent="0.3">
      <c r="B160" s="52" t="s">
        <v>192</v>
      </c>
      <c r="C160" s="51"/>
      <c r="D160" s="39">
        <v>681.37</v>
      </c>
      <c r="E160" s="1"/>
    </row>
    <row r="161" spans="2:5" x14ac:dyDescent="0.3">
      <c r="B161" s="52" t="s">
        <v>267</v>
      </c>
      <c r="C161" s="51"/>
      <c r="D161" s="39">
        <v>102.31</v>
      </c>
      <c r="E161" s="1"/>
    </row>
    <row r="162" spans="2:5" x14ac:dyDescent="0.3">
      <c r="B162" s="56" t="s">
        <v>52</v>
      </c>
      <c r="C162" s="57"/>
      <c r="D162" s="1">
        <v>0</v>
      </c>
      <c r="E162" s="1"/>
    </row>
    <row r="163" spans="2:5" x14ac:dyDescent="0.3">
      <c r="B163" s="52" t="s">
        <v>53</v>
      </c>
      <c r="C163" s="51"/>
      <c r="D163" s="1"/>
      <c r="E163" s="1"/>
    </row>
    <row r="164" spans="2:5" x14ac:dyDescent="0.3">
      <c r="B164" s="52"/>
      <c r="C164" s="51"/>
      <c r="D164" s="1">
        <v>0</v>
      </c>
      <c r="E164" s="1"/>
    </row>
    <row r="165" spans="2:5" x14ac:dyDescent="0.3">
      <c r="B165" s="59" t="s">
        <v>42</v>
      </c>
      <c r="C165" s="51"/>
      <c r="D165" s="3">
        <f>SUM(D151:D164)</f>
        <v>46420.369999999995</v>
      </c>
      <c r="E165" s="1"/>
    </row>
    <row r="166" spans="2:5" x14ac:dyDescent="0.3">
      <c r="B166" s="14"/>
      <c r="C166" s="14"/>
      <c r="D166" s="14"/>
      <c r="E166" s="14"/>
    </row>
    <row r="167" spans="2:5" x14ac:dyDescent="0.3">
      <c r="B167" t="s">
        <v>11</v>
      </c>
    </row>
    <row r="168" spans="2:5" x14ac:dyDescent="0.3">
      <c r="B168" t="s">
        <v>12</v>
      </c>
      <c r="C168" t="s">
        <v>13</v>
      </c>
    </row>
    <row r="175" spans="2:5" ht="15.6" x14ac:dyDescent="0.3">
      <c r="C175" s="4" t="s">
        <v>6</v>
      </c>
      <c r="D175" s="4"/>
    </row>
    <row r="176" spans="2:5" x14ac:dyDescent="0.3">
      <c r="B176" s="5" t="s">
        <v>7</v>
      </c>
      <c r="C176" s="5"/>
      <c r="D176" s="5"/>
      <c r="E176" s="5"/>
    </row>
    <row r="177" spans="2:5" x14ac:dyDescent="0.3">
      <c r="B177" s="5"/>
      <c r="C177" s="5" t="s">
        <v>30</v>
      </c>
      <c r="D177" s="5"/>
      <c r="E177" s="5"/>
    </row>
    <row r="178" spans="2:5" x14ac:dyDescent="0.3">
      <c r="B178" t="s">
        <v>163</v>
      </c>
      <c r="C178" t="s">
        <v>171</v>
      </c>
      <c r="D178" s="6" t="s">
        <v>172</v>
      </c>
    </row>
    <row r="181" spans="2:5" ht="28.8" x14ac:dyDescent="0.3">
      <c r="B181" s="1" t="s">
        <v>0</v>
      </c>
      <c r="C181" s="2" t="s">
        <v>1</v>
      </c>
      <c r="D181" s="2" t="s">
        <v>2</v>
      </c>
      <c r="E181" s="2" t="s">
        <v>3</v>
      </c>
    </row>
    <row r="182" spans="2:5" x14ac:dyDescent="0.3">
      <c r="B182" s="3" t="s">
        <v>4</v>
      </c>
      <c r="C182" s="1">
        <f>70706.04+16181.5</f>
        <v>86887.54</v>
      </c>
      <c r="D182" s="1">
        <f>57940.08+16181.5</f>
        <v>74121.58</v>
      </c>
      <c r="E182" s="1">
        <v>77592.47</v>
      </c>
    </row>
    <row r="183" spans="2:5" x14ac:dyDescent="0.3">
      <c r="B183" s="49" t="s">
        <v>10</v>
      </c>
      <c r="C183" s="50"/>
      <c r="D183" s="51"/>
      <c r="E183" s="1">
        <f>C182-E182</f>
        <v>9295.0699999999924</v>
      </c>
    </row>
    <row r="185" spans="2:5" ht="28.8" x14ac:dyDescent="0.3">
      <c r="B185" s="60" t="s">
        <v>37</v>
      </c>
      <c r="C185" s="51"/>
      <c r="D185" s="21" t="s">
        <v>41</v>
      </c>
      <c r="E185" s="3"/>
    </row>
    <row r="186" spans="2:5" x14ac:dyDescent="0.3">
      <c r="B186" s="60" t="s">
        <v>38</v>
      </c>
      <c r="C186" s="51"/>
      <c r="D186" s="1">
        <v>0</v>
      </c>
      <c r="E186" s="1"/>
    </row>
    <row r="187" spans="2:5" ht="15.6" x14ac:dyDescent="0.3">
      <c r="B187" s="52" t="s">
        <v>268</v>
      </c>
      <c r="C187" s="51"/>
      <c r="D187" s="36">
        <v>35560.21</v>
      </c>
      <c r="E187" s="1"/>
    </row>
    <row r="188" spans="2:5" ht="26.4" customHeight="1" x14ac:dyDescent="0.3">
      <c r="B188" s="52" t="s">
        <v>269</v>
      </c>
      <c r="C188" s="51"/>
      <c r="D188" s="34">
        <f>5619.62+3642.35+753.97</f>
        <v>10015.939999999999</v>
      </c>
      <c r="E188" s="1"/>
    </row>
    <row r="189" spans="2:5" x14ac:dyDescent="0.3">
      <c r="B189" s="60" t="s">
        <v>40</v>
      </c>
      <c r="C189" s="51"/>
      <c r="D189" s="1">
        <v>0</v>
      </c>
      <c r="E189" s="1"/>
    </row>
    <row r="190" spans="2:5" x14ac:dyDescent="0.3">
      <c r="B190" s="52" t="s">
        <v>270</v>
      </c>
      <c r="C190" s="51"/>
      <c r="D190" s="39">
        <f>10117.55
/3</f>
        <v>3372.5166666666664</v>
      </c>
      <c r="E190" s="1"/>
    </row>
    <row r="191" spans="2:5" ht="15.6" x14ac:dyDescent="0.3">
      <c r="B191" s="52" t="s">
        <v>271</v>
      </c>
      <c r="C191" s="51"/>
      <c r="D191" s="32">
        <v>26480.880000000001</v>
      </c>
      <c r="E191" s="1"/>
    </row>
    <row r="192" spans="2:5" x14ac:dyDescent="0.3">
      <c r="B192" s="61" t="s">
        <v>47</v>
      </c>
      <c r="C192" s="51"/>
      <c r="D192" s="1">
        <v>0</v>
      </c>
      <c r="E192" s="1"/>
    </row>
    <row r="193" spans="2:5" x14ac:dyDescent="0.3">
      <c r="B193" s="52"/>
      <c r="C193" s="51"/>
      <c r="D193" s="1">
        <v>0</v>
      </c>
      <c r="E193" s="1"/>
    </row>
    <row r="194" spans="2:5" x14ac:dyDescent="0.3">
      <c r="B194" s="52"/>
      <c r="C194" s="51"/>
      <c r="D194" s="1"/>
      <c r="E194" s="1"/>
    </row>
    <row r="195" spans="2:5" x14ac:dyDescent="0.3">
      <c r="B195" s="52"/>
      <c r="C195" s="51"/>
      <c r="D195" s="1">
        <v>0</v>
      </c>
      <c r="E195" s="1"/>
    </row>
    <row r="196" spans="2:5" x14ac:dyDescent="0.3">
      <c r="B196" s="56" t="s">
        <v>52</v>
      </c>
      <c r="C196" s="57"/>
      <c r="D196" s="1">
        <v>0</v>
      </c>
      <c r="E196" s="1"/>
    </row>
    <row r="197" spans="2:5" x14ac:dyDescent="0.3">
      <c r="B197" s="52" t="s">
        <v>53</v>
      </c>
      <c r="C197" s="51"/>
      <c r="D197" s="1">
        <f>564.24+1598.68</f>
        <v>2162.92</v>
      </c>
      <c r="E197" s="1"/>
    </row>
    <row r="198" spans="2:5" x14ac:dyDescent="0.3">
      <c r="B198" s="52"/>
      <c r="C198" s="51"/>
      <c r="D198" s="1">
        <v>0</v>
      </c>
      <c r="E198" s="1"/>
    </row>
    <row r="199" spans="2:5" x14ac:dyDescent="0.3">
      <c r="B199" s="59" t="s">
        <v>42</v>
      </c>
      <c r="C199" s="51"/>
      <c r="D199" s="38">
        <f>SUM(D186:D198)</f>
        <v>77592.46666666666</v>
      </c>
      <c r="E199" s="1"/>
    </row>
    <row r="200" spans="2:5" x14ac:dyDescent="0.3">
      <c r="B200" s="14"/>
      <c r="C200" s="14"/>
      <c r="D200" s="14"/>
      <c r="E200" s="14"/>
    </row>
    <row r="201" spans="2:5" x14ac:dyDescent="0.3">
      <c r="B201" t="s">
        <v>11</v>
      </c>
    </row>
    <row r="202" spans="2:5" x14ac:dyDescent="0.3">
      <c r="B202" t="s">
        <v>12</v>
      </c>
      <c r="C202" t="s">
        <v>13</v>
      </c>
    </row>
    <row r="208" spans="2:5" ht="15.6" x14ac:dyDescent="0.3">
      <c r="C208" s="4" t="s">
        <v>6</v>
      </c>
      <c r="D208" s="4"/>
    </row>
    <row r="209" spans="2:5" x14ac:dyDescent="0.3">
      <c r="B209" s="5" t="s">
        <v>7</v>
      </c>
      <c r="C209" s="5"/>
      <c r="D209" s="5"/>
      <c r="E209" s="5"/>
    </row>
    <row r="210" spans="2:5" x14ac:dyDescent="0.3">
      <c r="B210" s="5"/>
      <c r="C210" s="5" t="s">
        <v>30</v>
      </c>
      <c r="D210" s="5"/>
      <c r="E210" s="5"/>
    </row>
    <row r="211" spans="2:5" x14ac:dyDescent="0.3">
      <c r="B211" t="s">
        <v>163</v>
      </c>
      <c r="C211" t="s">
        <v>171</v>
      </c>
      <c r="D211" s="6">
        <v>15</v>
      </c>
    </row>
    <row r="214" spans="2:5" ht="28.8" x14ac:dyDescent="0.3">
      <c r="B214" s="1" t="s">
        <v>0</v>
      </c>
      <c r="C214" s="2" t="s">
        <v>1</v>
      </c>
      <c r="D214" s="2" t="s">
        <v>2</v>
      </c>
      <c r="E214" s="2" t="s">
        <v>3</v>
      </c>
    </row>
    <row r="215" spans="2:5" x14ac:dyDescent="0.3">
      <c r="B215" s="3" t="s">
        <v>4</v>
      </c>
      <c r="C215" s="1">
        <v>183618.12</v>
      </c>
      <c r="D215" s="1">
        <v>164132.31</v>
      </c>
      <c r="E215" s="1">
        <v>192593.68</v>
      </c>
    </row>
    <row r="216" spans="2:5" x14ac:dyDescent="0.3">
      <c r="B216" s="49" t="s">
        <v>10</v>
      </c>
      <c r="C216" s="50"/>
      <c r="D216" s="51"/>
      <c r="E216" s="1">
        <f>C215-E215</f>
        <v>-8975.5599999999977</v>
      </c>
    </row>
    <row r="218" spans="2:5" ht="28.8" x14ac:dyDescent="0.3">
      <c r="B218" s="60" t="s">
        <v>37</v>
      </c>
      <c r="C218" s="51"/>
      <c r="D218" s="21" t="s">
        <v>41</v>
      </c>
      <c r="E218" s="3"/>
    </row>
    <row r="219" spans="2:5" x14ac:dyDescent="0.3">
      <c r="B219" s="60" t="s">
        <v>38</v>
      </c>
      <c r="C219" s="51"/>
      <c r="D219" s="1">
        <v>0</v>
      </c>
      <c r="E219" s="1"/>
    </row>
    <row r="220" spans="2:5" ht="15.6" x14ac:dyDescent="0.3">
      <c r="B220" s="52" t="s">
        <v>276</v>
      </c>
      <c r="C220" s="51"/>
      <c r="D220" s="32">
        <v>7310.33</v>
      </c>
      <c r="E220" s="1"/>
    </row>
    <row r="221" spans="2:5" ht="15.6" x14ac:dyDescent="0.3">
      <c r="B221" s="52" t="s">
        <v>277</v>
      </c>
      <c r="C221" s="51"/>
      <c r="D221" s="32">
        <v>1578.28</v>
      </c>
      <c r="E221" s="1"/>
    </row>
    <row r="222" spans="2:5" x14ac:dyDescent="0.3">
      <c r="B222" s="60" t="s">
        <v>40</v>
      </c>
      <c r="C222" s="51"/>
      <c r="D222" s="1">
        <v>0</v>
      </c>
      <c r="E222" s="1"/>
    </row>
    <row r="223" spans="2:5" x14ac:dyDescent="0.3">
      <c r="B223" s="52" t="s">
        <v>270</v>
      </c>
      <c r="C223" s="51"/>
      <c r="D223" s="39">
        <f>10117.55
/3</f>
        <v>3372.5166666666664</v>
      </c>
      <c r="E223" s="1"/>
    </row>
    <row r="224" spans="2:5" x14ac:dyDescent="0.3">
      <c r="B224" s="52" t="s">
        <v>272</v>
      </c>
      <c r="C224" s="51"/>
      <c r="D224" s="30">
        <v>31000</v>
      </c>
      <c r="E224" s="1"/>
    </row>
    <row r="225" spans="2:5" ht="15.6" x14ac:dyDescent="0.3">
      <c r="B225" s="52" t="s">
        <v>273</v>
      </c>
      <c r="C225" s="51"/>
      <c r="D225" s="35">
        <v>12740</v>
      </c>
      <c r="E225" s="1"/>
    </row>
    <row r="226" spans="2:5" x14ac:dyDescent="0.3">
      <c r="B226" s="52" t="s">
        <v>274</v>
      </c>
      <c r="C226" s="51"/>
      <c r="D226" s="30">
        <f>50794.01+65743.49</f>
        <v>116537.5</v>
      </c>
      <c r="E226" s="1"/>
    </row>
    <row r="227" spans="2:5" x14ac:dyDescent="0.3">
      <c r="B227" s="61" t="s">
        <v>47</v>
      </c>
      <c r="C227" s="51"/>
      <c r="D227" s="1">
        <v>0</v>
      </c>
      <c r="E227" s="1"/>
    </row>
    <row r="228" spans="2:5" x14ac:dyDescent="0.3">
      <c r="B228" s="52" t="s">
        <v>275</v>
      </c>
      <c r="C228" s="51"/>
      <c r="D228" s="1">
        <f>642.24+5618.69+7880.11+3894.15</f>
        <v>18035.189999999999</v>
      </c>
      <c r="E228" s="1"/>
    </row>
    <row r="229" spans="2:5" ht="15.6" x14ac:dyDescent="0.3">
      <c r="B229" s="52" t="s">
        <v>204</v>
      </c>
      <c r="C229" s="51"/>
      <c r="D229" s="32">
        <v>382.85</v>
      </c>
      <c r="E229" s="1"/>
    </row>
    <row r="230" spans="2:5" x14ac:dyDescent="0.3">
      <c r="B230" s="52" t="s">
        <v>229</v>
      </c>
      <c r="C230" s="51"/>
      <c r="D230" s="30">
        <v>1637.01</v>
      </c>
      <c r="E230" s="1"/>
    </row>
    <row r="231" spans="2:5" x14ac:dyDescent="0.3">
      <c r="B231" s="56" t="s">
        <v>52</v>
      </c>
      <c r="C231" s="57"/>
      <c r="D231" s="1">
        <v>0</v>
      </c>
      <c r="E231" s="1"/>
    </row>
    <row r="232" spans="2:5" x14ac:dyDescent="0.3">
      <c r="B232" s="52" t="s">
        <v>53</v>
      </c>
      <c r="C232" s="51"/>
      <c r="D232" s="1"/>
      <c r="E232" s="1"/>
    </row>
    <row r="233" spans="2:5" x14ac:dyDescent="0.3">
      <c r="B233" s="52"/>
      <c r="C233" s="51"/>
      <c r="D233" s="1">
        <v>0</v>
      </c>
      <c r="E233" s="1"/>
    </row>
    <row r="234" spans="2:5" x14ac:dyDescent="0.3">
      <c r="B234" s="59" t="s">
        <v>42</v>
      </c>
      <c r="C234" s="51"/>
      <c r="D234" s="38">
        <f>SUM(D219:D233)</f>
        <v>192593.67666666667</v>
      </c>
      <c r="E234" s="1"/>
    </row>
    <row r="235" spans="2:5" x14ac:dyDescent="0.3">
      <c r="B235" s="14"/>
      <c r="C235" s="14"/>
      <c r="D235" s="14"/>
      <c r="E235" s="14"/>
    </row>
    <row r="236" spans="2:5" x14ac:dyDescent="0.3">
      <c r="B236" t="s">
        <v>11</v>
      </c>
    </row>
    <row r="237" spans="2:5" x14ac:dyDescent="0.3">
      <c r="B237" t="s">
        <v>12</v>
      </c>
      <c r="C237" t="s">
        <v>13</v>
      </c>
    </row>
    <row r="243" spans="2:5" ht="15.6" x14ac:dyDescent="0.3">
      <c r="C243" s="4" t="s">
        <v>6</v>
      </c>
      <c r="D243" s="4"/>
    </row>
    <row r="244" spans="2:5" x14ac:dyDescent="0.3">
      <c r="B244" s="5" t="s">
        <v>7</v>
      </c>
      <c r="C244" s="5"/>
      <c r="D244" s="5"/>
      <c r="E244" s="5"/>
    </row>
    <row r="245" spans="2:5" x14ac:dyDescent="0.3">
      <c r="B245" s="5"/>
      <c r="C245" s="5" t="s">
        <v>30</v>
      </c>
      <c r="D245" s="5"/>
      <c r="E245" s="5"/>
    </row>
    <row r="246" spans="2:5" x14ac:dyDescent="0.3">
      <c r="B246" t="s">
        <v>163</v>
      </c>
      <c r="C246" t="s">
        <v>171</v>
      </c>
      <c r="D246" s="6">
        <v>30</v>
      </c>
    </row>
    <row r="249" spans="2:5" ht="28.8" x14ac:dyDescent="0.3">
      <c r="B249" s="1" t="s">
        <v>0</v>
      </c>
      <c r="C249" s="2" t="s">
        <v>1</v>
      </c>
      <c r="D249" s="2" t="s">
        <v>2</v>
      </c>
      <c r="E249" s="2" t="s">
        <v>3</v>
      </c>
    </row>
    <row r="250" spans="2:5" x14ac:dyDescent="0.3">
      <c r="B250" s="3" t="s">
        <v>4</v>
      </c>
      <c r="C250" s="1">
        <v>74130</v>
      </c>
      <c r="D250" s="1">
        <v>60824.14</v>
      </c>
      <c r="E250" s="1">
        <v>13640.16</v>
      </c>
    </row>
    <row r="251" spans="2:5" x14ac:dyDescent="0.3">
      <c r="B251" s="49" t="s">
        <v>10</v>
      </c>
      <c r="C251" s="50"/>
      <c r="D251" s="51"/>
      <c r="E251" s="1">
        <f>C250-E250</f>
        <v>60489.84</v>
      </c>
    </row>
    <row r="253" spans="2:5" ht="28.8" x14ac:dyDescent="0.3">
      <c r="B253" s="60" t="s">
        <v>37</v>
      </c>
      <c r="C253" s="51"/>
      <c r="D253" s="21" t="s">
        <v>41</v>
      </c>
      <c r="E253" s="3"/>
    </row>
    <row r="254" spans="2:5" x14ac:dyDescent="0.3">
      <c r="B254" s="60" t="s">
        <v>38</v>
      </c>
      <c r="C254" s="51"/>
      <c r="D254" s="1">
        <v>0</v>
      </c>
      <c r="E254" s="1"/>
    </row>
    <row r="255" spans="2:5" x14ac:dyDescent="0.3">
      <c r="B255" s="52"/>
      <c r="C255" s="51"/>
      <c r="D255" s="1">
        <v>0</v>
      </c>
      <c r="E255" s="1"/>
    </row>
    <row r="256" spans="2:5" x14ac:dyDescent="0.3">
      <c r="B256" s="52"/>
      <c r="C256" s="51"/>
      <c r="D256" s="1">
        <v>0</v>
      </c>
      <c r="E256" s="1"/>
    </row>
    <row r="257" spans="2:5" x14ac:dyDescent="0.3">
      <c r="B257" s="60" t="s">
        <v>40</v>
      </c>
      <c r="C257" s="51"/>
      <c r="D257" s="1">
        <v>0</v>
      </c>
      <c r="E257" s="1"/>
    </row>
    <row r="258" spans="2:5" x14ac:dyDescent="0.3">
      <c r="B258" s="52" t="s">
        <v>278</v>
      </c>
      <c r="C258" s="51"/>
      <c r="D258" s="27">
        <v>9073</v>
      </c>
      <c r="E258" s="1"/>
    </row>
    <row r="259" spans="2:5" x14ac:dyDescent="0.3">
      <c r="B259" s="52" t="s">
        <v>280</v>
      </c>
      <c r="C259" s="51"/>
      <c r="D259" s="1">
        <f>941.5+2702.43+227.13</f>
        <v>3871.06</v>
      </c>
      <c r="E259" s="1"/>
    </row>
    <row r="260" spans="2:5" x14ac:dyDescent="0.3">
      <c r="B260" s="61" t="s">
        <v>47</v>
      </c>
      <c r="C260" s="51"/>
      <c r="D260" s="1">
        <v>0</v>
      </c>
      <c r="E260" s="1"/>
    </row>
    <row r="261" spans="2:5" x14ac:dyDescent="0.3">
      <c r="B261" s="52" t="s">
        <v>279</v>
      </c>
      <c r="C261" s="51"/>
      <c r="D261" s="1">
        <f>553.07+143.03</f>
        <v>696.1</v>
      </c>
      <c r="E261" s="1"/>
    </row>
    <row r="262" spans="2:5" x14ac:dyDescent="0.3">
      <c r="B262" s="52"/>
      <c r="C262" s="51"/>
      <c r="D262" s="1"/>
      <c r="E262" s="1"/>
    </row>
    <row r="263" spans="2:5" x14ac:dyDescent="0.3">
      <c r="B263" s="52"/>
      <c r="C263" s="51"/>
      <c r="D263" s="1">
        <v>0</v>
      </c>
      <c r="E263" s="1"/>
    </row>
    <row r="264" spans="2:5" x14ac:dyDescent="0.3">
      <c r="B264" s="56" t="s">
        <v>52</v>
      </c>
      <c r="C264" s="57"/>
      <c r="D264" s="1">
        <v>0</v>
      </c>
      <c r="E264" s="1"/>
    </row>
    <row r="265" spans="2:5" x14ac:dyDescent="0.3">
      <c r="B265" s="52" t="s">
        <v>53</v>
      </c>
      <c r="C265" s="51"/>
      <c r="D265" s="1"/>
      <c r="E265" s="1"/>
    </row>
    <row r="266" spans="2:5" x14ac:dyDescent="0.3">
      <c r="B266" s="52"/>
      <c r="C266" s="51"/>
      <c r="D266" s="1">
        <v>0</v>
      </c>
      <c r="E266" s="1"/>
    </row>
    <row r="267" spans="2:5" x14ac:dyDescent="0.3">
      <c r="B267" s="59" t="s">
        <v>42</v>
      </c>
      <c r="C267" s="51"/>
      <c r="D267" s="3">
        <f>SUM(D254:D266)</f>
        <v>13640.16</v>
      </c>
      <c r="E267" s="1"/>
    </row>
    <row r="268" spans="2:5" x14ac:dyDescent="0.3">
      <c r="B268" s="14"/>
      <c r="C268" s="14"/>
      <c r="D268" s="14"/>
      <c r="E268" s="14"/>
    </row>
    <row r="269" spans="2:5" x14ac:dyDescent="0.3">
      <c r="B269" t="s">
        <v>11</v>
      </c>
    </row>
    <row r="270" spans="2:5" x14ac:dyDescent="0.3">
      <c r="B270" t="s">
        <v>12</v>
      </c>
      <c r="C270" t="s">
        <v>13</v>
      </c>
    </row>
  </sheetData>
  <mergeCells count="134">
    <mergeCell ref="B12:D12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45:D45"/>
    <mergeCell ref="B47:C47"/>
    <mergeCell ref="B19:C19"/>
    <mergeCell ref="B20:C20"/>
    <mergeCell ref="B21:C21"/>
    <mergeCell ref="B22:C22"/>
    <mergeCell ref="B23:C23"/>
    <mergeCell ref="B24:C24"/>
    <mergeCell ref="B55:C55"/>
    <mergeCell ref="B56:C56"/>
    <mergeCell ref="B57:C57"/>
    <mergeCell ref="B58:C58"/>
    <mergeCell ref="B59:C59"/>
    <mergeCell ref="B60:C60"/>
    <mergeCell ref="B48:C48"/>
    <mergeCell ref="B49:C49"/>
    <mergeCell ref="B50:C50"/>
    <mergeCell ref="B52:C52"/>
    <mergeCell ref="B53:C53"/>
    <mergeCell ref="B54:C54"/>
    <mergeCell ref="B51:C51"/>
    <mergeCell ref="B84:C84"/>
    <mergeCell ref="B85:C85"/>
    <mergeCell ref="B86:C86"/>
    <mergeCell ref="B87:C87"/>
    <mergeCell ref="B89:C89"/>
    <mergeCell ref="B90:C90"/>
    <mergeCell ref="B61:C61"/>
    <mergeCell ref="B62:C62"/>
    <mergeCell ref="B79:D79"/>
    <mergeCell ref="B81:C81"/>
    <mergeCell ref="B82:C82"/>
    <mergeCell ref="B83:C83"/>
    <mergeCell ref="B88:C88"/>
    <mergeCell ref="B113:D113"/>
    <mergeCell ref="B115:C115"/>
    <mergeCell ref="B116:C116"/>
    <mergeCell ref="B117:C117"/>
    <mergeCell ref="B118:C118"/>
    <mergeCell ref="B119:C119"/>
    <mergeCell ref="B91:C91"/>
    <mergeCell ref="B92:C92"/>
    <mergeCell ref="B93:C93"/>
    <mergeCell ref="B94:C94"/>
    <mergeCell ref="B95:C95"/>
    <mergeCell ref="B96:C96"/>
    <mergeCell ref="B128:C128"/>
    <mergeCell ref="B129:C129"/>
    <mergeCell ref="B130:C130"/>
    <mergeCell ref="B131:C131"/>
    <mergeCell ref="B148:D148"/>
    <mergeCell ref="B150:C150"/>
    <mergeCell ref="B120:C120"/>
    <mergeCell ref="B121:C121"/>
    <mergeCell ref="B124:C124"/>
    <mergeCell ref="B125:C125"/>
    <mergeCell ref="B126:C126"/>
    <mergeCell ref="B127:C127"/>
    <mergeCell ref="B122:C122"/>
    <mergeCell ref="B123:C123"/>
    <mergeCell ref="B158:C158"/>
    <mergeCell ref="B159:C159"/>
    <mergeCell ref="B160:C160"/>
    <mergeCell ref="B161:C161"/>
    <mergeCell ref="B162:C162"/>
    <mergeCell ref="B163:C163"/>
    <mergeCell ref="B151:C151"/>
    <mergeCell ref="B152:C152"/>
    <mergeCell ref="B153:C153"/>
    <mergeCell ref="B154:C154"/>
    <mergeCell ref="B155:C155"/>
    <mergeCell ref="B156:C156"/>
    <mergeCell ref="B188:C188"/>
    <mergeCell ref="B189:C189"/>
    <mergeCell ref="B190:C190"/>
    <mergeCell ref="B191:C191"/>
    <mergeCell ref="B192:C192"/>
    <mergeCell ref="B193:C193"/>
    <mergeCell ref="B164:C164"/>
    <mergeCell ref="B165:C165"/>
    <mergeCell ref="B183:D183"/>
    <mergeCell ref="B185:C185"/>
    <mergeCell ref="B186:C186"/>
    <mergeCell ref="B187:C187"/>
    <mergeCell ref="B216:D216"/>
    <mergeCell ref="B218:C218"/>
    <mergeCell ref="B219:C219"/>
    <mergeCell ref="B220:C220"/>
    <mergeCell ref="B221:C221"/>
    <mergeCell ref="B222:C222"/>
    <mergeCell ref="B194:C194"/>
    <mergeCell ref="B195:C195"/>
    <mergeCell ref="B196:C196"/>
    <mergeCell ref="B197:C197"/>
    <mergeCell ref="B198:C198"/>
    <mergeCell ref="B199:C199"/>
    <mergeCell ref="B231:C231"/>
    <mergeCell ref="B232:C232"/>
    <mergeCell ref="B233:C233"/>
    <mergeCell ref="B234:C234"/>
    <mergeCell ref="B251:D251"/>
    <mergeCell ref="B253:C253"/>
    <mergeCell ref="B223:C223"/>
    <mergeCell ref="B224:C224"/>
    <mergeCell ref="B227:C227"/>
    <mergeCell ref="B228:C228"/>
    <mergeCell ref="B229:C229"/>
    <mergeCell ref="B230:C230"/>
    <mergeCell ref="B225:C225"/>
    <mergeCell ref="B226:C226"/>
    <mergeCell ref="B266:C266"/>
    <mergeCell ref="B267:C267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6:C256"/>
    <mergeCell ref="B257:C257"/>
    <mergeCell ref="B258:C258"/>
    <mergeCell ref="B259:C25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39"/>
  <sheetViews>
    <sheetView topLeftCell="A91" workbookViewId="0">
      <selection activeCell="F91" sqref="F91"/>
    </sheetView>
  </sheetViews>
  <sheetFormatPr defaultRowHeight="14.4" x14ac:dyDescent="0.3"/>
  <cols>
    <col min="2" max="2" width="30.44140625" customWidth="1"/>
    <col min="3" max="3" width="15.6640625" customWidth="1"/>
    <col min="4" max="4" width="12.33203125" customWidth="1"/>
    <col min="5" max="5" width="11.5546875" customWidth="1"/>
  </cols>
  <sheetData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30</v>
      </c>
      <c r="D6" s="5"/>
      <c r="E6" s="5"/>
    </row>
    <row r="7" spans="2:5" x14ac:dyDescent="0.3">
      <c r="B7" t="s">
        <v>163</v>
      </c>
      <c r="C7" t="s">
        <v>173</v>
      </c>
      <c r="D7" s="6">
        <v>1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v>19181.34</v>
      </c>
      <c r="D11" s="1">
        <v>17013.25</v>
      </c>
      <c r="E11" s="1">
        <v>1587.07</v>
      </c>
    </row>
    <row r="12" spans="2:5" x14ac:dyDescent="0.3">
      <c r="B12" s="49" t="s">
        <v>10</v>
      </c>
      <c r="C12" s="50"/>
      <c r="D12" s="51"/>
      <c r="E12" s="1">
        <f>C11-E11</f>
        <v>17594.27</v>
      </c>
    </row>
    <row r="14" spans="2:5" ht="28.8" x14ac:dyDescent="0.3">
      <c r="B14" s="60" t="s">
        <v>37</v>
      </c>
      <c r="C14" s="51"/>
      <c r="D14" s="21" t="s">
        <v>41</v>
      </c>
      <c r="E14" s="3"/>
    </row>
    <row r="15" spans="2:5" x14ac:dyDescent="0.3">
      <c r="B15" s="60" t="s">
        <v>38</v>
      </c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52"/>
      <c r="C17" s="51"/>
      <c r="D17" s="1">
        <v>0</v>
      </c>
      <c r="E17" s="1"/>
    </row>
    <row r="18" spans="2:5" x14ac:dyDescent="0.3">
      <c r="B18" s="60" t="s">
        <v>40</v>
      </c>
      <c r="C18" s="51"/>
      <c r="D18" s="1">
        <v>0</v>
      </c>
      <c r="E18" s="1"/>
    </row>
    <row r="19" spans="2:5" x14ac:dyDescent="0.3">
      <c r="B19" s="52"/>
      <c r="C19" s="51"/>
      <c r="D19" s="1">
        <v>0</v>
      </c>
      <c r="E19" s="1"/>
    </row>
    <row r="20" spans="2:5" x14ac:dyDescent="0.3">
      <c r="B20" s="52"/>
      <c r="C20" s="51"/>
      <c r="D20" s="1">
        <v>0</v>
      </c>
      <c r="E20" s="1"/>
    </row>
    <row r="21" spans="2:5" x14ac:dyDescent="0.3">
      <c r="B21" s="61" t="s">
        <v>47</v>
      </c>
      <c r="C21" s="51"/>
      <c r="D21" s="1">
        <v>0</v>
      </c>
      <c r="E21" s="1"/>
    </row>
    <row r="22" spans="2:5" x14ac:dyDescent="0.3">
      <c r="B22" s="52"/>
      <c r="C22" s="51"/>
      <c r="D22" s="1">
        <v>0</v>
      </c>
      <c r="E22" s="1"/>
    </row>
    <row r="23" spans="2:5" x14ac:dyDescent="0.3">
      <c r="B23" s="52"/>
      <c r="C23" s="51"/>
      <c r="D23" s="1"/>
      <c r="E23" s="1"/>
    </row>
    <row r="24" spans="2:5" x14ac:dyDescent="0.3">
      <c r="B24" s="52"/>
      <c r="C24" s="51"/>
      <c r="D24" s="1">
        <v>0</v>
      </c>
      <c r="E24" s="1"/>
    </row>
    <row r="25" spans="2:5" x14ac:dyDescent="0.3">
      <c r="B25" s="56" t="s">
        <v>52</v>
      </c>
      <c r="C25" s="57"/>
      <c r="D25" s="1">
        <v>0</v>
      </c>
      <c r="E25" s="1"/>
    </row>
    <row r="26" spans="2:5" x14ac:dyDescent="0.3">
      <c r="B26" s="52" t="s">
        <v>53</v>
      </c>
      <c r="C26" s="51"/>
      <c r="D26" s="1"/>
      <c r="E26" s="1"/>
    </row>
    <row r="27" spans="2:5" ht="15.6" x14ac:dyDescent="0.3">
      <c r="B27" s="52" t="s">
        <v>393</v>
      </c>
      <c r="C27" s="51"/>
      <c r="D27" s="34">
        <v>1587.07</v>
      </c>
      <c r="E27" s="1"/>
    </row>
    <row r="28" spans="2:5" x14ac:dyDescent="0.3">
      <c r="B28" s="59" t="s">
        <v>42</v>
      </c>
      <c r="C28" s="51"/>
      <c r="D28" s="3">
        <f>SUM(D15:D27)</f>
        <v>1587.07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  <row r="35" spans="2:5" ht="15.6" x14ac:dyDescent="0.3">
      <c r="C35" s="4" t="s">
        <v>6</v>
      </c>
      <c r="D35" s="4"/>
    </row>
    <row r="36" spans="2:5" x14ac:dyDescent="0.3">
      <c r="B36" s="5" t="s">
        <v>7</v>
      </c>
      <c r="C36" s="5"/>
      <c r="D36" s="5"/>
      <c r="E36" s="5"/>
    </row>
    <row r="37" spans="2:5" x14ac:dyDescent="0.3">
      <c r="B37" s="5"/>
      <c r="C37" s="5" t="s">
        <v>30</v>
      </c>
      <c r="D37" s="5"/>
      <c r="E37" s="5"/>
    </row>
    <row r="38" spans="2:5" x14ac:dyDescent="0.3">
      <c r="B38" t="s">
        <v>163</v>
      </c>
      <c r="C38" t="s">
        <v>173</v>
      </c>
      <c r="D38" s="6">
        <v>2</v>
      </c>
    </row>
    <row r="41" spans="2:5" ht="28.8" x14ac:dyDescent="0.3">
      <c r="B41" s="1" t="s">
        <v>0</v>
      </c>
      <c r="C41" s="2" t="s">
        <v>1</v>
      </c>
      <c r="D41" s="2" t="s">
        <v>2</v>
      </c>
      <c r="E41" s="2" t="s">
        <v>3</v>
      </c>
    </row>
    <row r="42" spans="2:5" x14ac:dyDescent="0.3">
      <c r="B42" s="3" t="s">
        <v>4</v>
      </c>
      <c r="C42" s="1">
        <v>45648.9</v>
      </c>
      <c r="D42" s="1">
        <v>40547.71</v>
      </c>
      <c r="E42" s="1">
        <v>6077.04</v>
      </c>
    </row>
    <row r="43" spans="2:5" x14ac:dyDescent="0.3">
      <c r="B43" s="49" t="s">
        <v>10</v>
      </c>
      <c r="C43" s="50"/>
      <c r="D43" s="51"/>
      <c r="E43" s="1">
        <f>C42-E42</f>
        <v>39571.86</v>
      </c>
    </row>
    <row r="45" spans="2:5" ht="28.8" x14ac:dyDescent="0.3">
      <c r="B45" s="60" t="s">
        <v>37</v>
      </c>
      <c r="C45" s="51"/>
      <c r="D45" s="21" t="s">
        <v>41</v>
      </c>
      <c r="E45" s="3"/>
    </row>
    <row r="46" spans="2:5" x14ac:dyDescent="0.3">
      <c r="B46" s="60" t="s">
        <v>38</v>
      </c>
      <c r="C46" s="51"/>
      <c r="D46" s="1">
        <v>0</v>
      </c>
      <c r="E46" s="1"/>
    </row>
    <row r="47" spans="2:5" x14ac:dyDescent="0.3">
      <c r="B47" s="52"/>
      <c r="C47" s="51"/>
      <c r="D47" s="1">
        <v>0</v>
      </c>
      <c r="E47" s="1"/>
    </row>
    <row r="48" spans="2:5" x14ac:dyDescent="0.3">
      <c r="B48" s="52"/>
      <c r="C48" s="51"/>
      <c r="D48" s="1">
        <v>0</v>
      </c>
      <c r="E48" s="1"/>
    </row>
    <row r="49" spans="2:5" x14ac:dyDescent="0.3">
      <c r="B49" s="60" t="s">
        <v>40</v>
      </c>
      <c r="C49" s="51"/>
      <c r="D49" s="1">
        <v>0</v>
      </c>
      <c r="E49" s="1"/>
    </row>
    <row r="50" spans="2:5" ht="15.6" x14ac:dyDescent="0.3">
      <c r="B50" s="52" t="s">
        <v>422</v>
      </c>
      <c r="C50" s="51"/>
      <c r="D50" s="32">
        <v>763.78</v>
      </c>
      <c r="E50" s="1"/>
    </row>
    <row r="51" spans="2:5" x14ac:dyDescent="0.3">
      <c r="B51" s="52"/>
      <c r="C51" s="51"/>
      <c r="D51" s="1">
        <v>0</v>
      </c>
      <c r="E51" s="1"/>
    </row>
    <row r="52" spans="2:5" x14ac:dyDescent="0.3">
      <c r="B52" s="61" t="s">
        <v>47</v>
      </c>
      <c r="C52" s="51"/>
      <c r="D52" s="1">
        <v>0</v>
      </c>
      <c r="E52" s="1"/>
    </row>
    <row r="53" spans="2:5" x14ac:dyDescent="0.3">
      <c r="B53" s="52"/>
      <c r="C53" s="51"/>
      <c r="D53" s="1">
        <v>0</v>
      </c>
      <c r="E53" s="1"/>
    </row>
    <row r="54" spans="2:5" x14ac:dyDescent="0.3">
      <c r="B54" s="52"/>
      <c r="C54" s="51"/>
      <c r="D54" s="1"/>
      <c r="E54" s="1"/>
    </row>
    <row r="55" spans="2:5" x14ac:dyDescent="0.3">
      <c r="B55" s="52"/>
      <c r="C55" s="51"/>
      <c r="D55" s="1">
        <v>0</v>
      </c>
      <c r="E55" s="1"/>
    </row>
    <row r="56" spans="2:5" x14ac:dyDescent="0.3">
      <c r="B56" s="56" t="s">
        <v>52</v>
      </c>
      <c r="C56" s="57"/>
      <c r="D56" s="1">
        <v>0</v>
      </c>
      <c r="E56" s="1"/>
    </row>
    <row r="57" spans="2:5" ht="15.6" x14ac:dyDescent="0.3">
      <c r="B57" s="52" t="s">
        <v>53</v>
      </c>
      <c r="C57" s="51"/>
      <c r="D57" s="34">
        <v>5313.26</v>
      </c>
      <c r="E57" s="1"/>
    </row>
    <row r="58" spans="2:5" x14ac:dyDescent="0.3">
      <c r="B58" s="52"/>
      <c r="C58" s="51"/>
      <c r="D58" s="1">
        <v>0</v>
      </c>
      <c r="E58" s="1"/>
    </row>
    <row r="59" spans="2:5" x14ac:dyDescent="0.3">
      <c r="B59" s="59" t="s">
        <v>42</v>
      </c>
      <c r="C59" s="51"/>
      <c r="D59" s="3">
        <f>SUM(D46:D58)</f>
        <v>6077.04</v>
      </c>
      <c r="E59" s="1"/>
    </row>
    <row r="60" spans="2:5" x14ac:dyDescent="0.3">
      <c r="B60" s="14"/>
      <c r="C60" s="14"/>
      <c r="D60" s="14"/>
      <c r="E60" s="14"/>
    </row>
    <row r="61" spans="2:5" x14ac:dyDescent="0.3">
      <c r="B61" t="s">
        <v>11</v>
      </c>
    </row>
    <row r="62" spans="2:5" x14ac:dyDescent="0.3">
      <c r="B62" t="s">
        <v>12</v>
      </c>
      <c r="C62" t="s">
        <v>13</v>
      </c>
    </row>
    <row r="66" spans="2:5" ht="15.6" x14ac:dyDescent="0.3">
      <c r="C66" s="4" t="s">
        <v>6</v>
      </c>
      <c r="D66" s="4"/>
    </row>
    <row r="67" spans="2:5" x14ac:dyDescent="0.3">
      <c r="B67" s="5" t="s">
        <v>7</v>
      </c>
      <c r="C67" s="5"/>
      <c r="D67" s="5"/>
      <c r="E67" s="5"/>
    </row>
    <row r="68" spans="2:5" x14ac:dyDescent="0.3">
      <c r="B68" s="5"/>
      <c r="C68" s="5" t="s">
        <v>30</v>
      </c>
      <c r="D68" s="5"/>
      <c r="E68" s="5"/>
    </row>
    <row r="69" spans="2:5" x14ac:dyDescent="0.3">
      <c r="B69" t="s">
        <v>163</v>
      </c>
      <c r="C69" t="s">
        <v>173</v>
      </c>
      <c r="D69" s="6">
        <v>3</v>
      </c>
    </row>
    <row r="72" spans="2:5" ht="28.8" x14ac:dyDescent="0.3">
      <c r="B72" s="1" t="s">
        <v>0</v>
      </c>
      <c r="C72" s="2" t="s">
        <v>1</v>
      </c>
      <c r="D72" s="2" t="s">
        <v>2</v>
      </c>
      <c r="E72" s="2" t="s">
        <v>3</v>
      </c>
    </row>
    <row r="73" spans="2:5" x14ac:dyDescent="0.3">
      <c r="B73" s="3" t="s">
        <v>4</v>
      </c>
      <c r="C73" s="1">
        <v>23175.96</v>
      </c>
      <c r="D73" s="1">
        <v>21186.1</v>
      </c>
      <c r="E73" s="1">
        <v>11010.6</v>
      </c>
    </row>
    <row r="74" spans="2:5" x14ac:dyDescent="0.3">
      <c r="B74" s="49" t="s">
        <v>10</v>
      </c>
      <c r="C74" s="50"/>
      <c r="D74" s="51"/>
      <c r="E74" s="1">
        <f>C73-E73</f>
        <v>12165.359999999999</v>
      </c>
    </row>
    <row r="76" spans="2:5" ht="28.8" x14ac:dyDescent="0.3">
      <c r="B76" s="60" t="s">
        <v>37</v>
      </c>
      <c r="C76" s="51"/>
      <c r="D76" s="21" t="s">
        <v>41</v>
      </c>
      <c r="E76" s="3"/>
    </row>
    <row r="77" spans="2:5" x14ac:dyDescent="0.3">
      <c r="B77" s="60" t="s">
        <v>38</v>
      </c>
      <c r="C77" s="51"/>
      <c r="D77" s="1">
        <v>0</v>
      </c>
      <c r="E77" s="1"/>
    </row>
    <row r="78" spans="2:5" x14ac:dyDescent="0.3">
      <c r="B78" s="52" t="s">
        <v>218</v>
      </c>
      <c r="C78" s="51"/>
      <c r="D78" s="1">
        <f>8429.43+670.19</f>
        <v>9099.6200000000008</v>
      </c>
      <c r="E78" s="1"/>
    </row>
    <row r="79" spans="2:5" ht="15.6" x14ac:dyDescent="0.3">
      <c r="B79" s="52" t="s">
        <v>423</v>
      </c>
      <c r="C79" s="51"/>
      <c r="D79" s="32">
        <v>1722.9</v>
      </c>
      <c r="E79" s="1"/>
    </row>
    <row r="80" spans="2:5" x14ac:dyDescent="0.3">
      <c r="B80" s="60" t="s">
        <v>40</v>
      </c>
      <c r="C80" s="51"/>
      <c r="D80" s="1">
        <v>0</v>
      </c>
      <c r="E80" s="1"/>
    </row>
    <row r="81" spans="2:5" x14ac:dyDescent="0.3">
      <c r="B81" s="52"/>
      <c r="C81" s="51"/>
      <c r="D81" s="1">
        <v>0</v>
      </c>
      <c r="E81" s="1"/>
    </row>
    <row r="82" spans="2:5" x14ac:dyDescent="0.3">
      <c r="B82" s="52"/>
      <c r="C82" s="51"/>
      <c r="D82" s="1">
        <v>0</v>
      </c>
      <c r="E82" s="1"/>
    </row>
    <row r="83" spans="2:5" x14ac:dyDescent="0.3">
      <c r="B83" s="61" t="s">
        <v>47</v>
      </c>
      <c r="C83" s="51"/>
      <c r="D83" s="1">
        <v>0</v>
      </c>
      <c r="E83" s="1"/>
    </row>
    <row r="84" spans="2:5" x14ac:dyDescent="0.3">
      <c r="B84" s="52"/>
      <c r="C84" s="51"/>
      <c r="D84" s="1">
        <v>0</v>
      </c>
      <c r="E84" s="1"/>
    </row>
    <row r="85" spans="2:5" x14ac:dyDescent="0.3">
      <c r="B85" s="52"/>
      <c r="C85" s="51"/>
      <c r="D85" s="1"/>
      <c r="E85" s="1"/>
    </row>
    <row r="86" spans="2:5" x14ac:dyDescent="0.3">
      <c r="B86" s="52"/>
      <c r="C86" s="51"/>
      <c r="D86" s="1">
        <v>0</v>
      </c>
      <c r="E86" s="1"/>
    </row>
    <row r="87" spans="2:5" x14ac:dyDescent="0.3">
      <c r="B87" s="56" t="s">
        <v>52</v>
      </c>
      <c r="C87" s="57"/>
      <c r="D87" s="1">
        <v>0</v>
      </c>
      <c r="E87" s="1"/>
    </row>
    <row r="88" spans="2:5" ht="15.6" x14ac:dyDescent="0.3">
      <c r="B88" s="52" t="s">
        <v>53</v>
      </c>
      <c r="C88" s="51"/>
      <c r="D88" s="34">
        <v>188.08</v>
      </c>
      <c r="E88" s="1"/>
    </row>
    <row r="89" spans="2:5" x14ac:dyDescent="0.3">
      <c r="B89" s="52"/>
      <c r="C89" s="51"/>
      <c r="D89" s="1">
        <v>0</v>
      </c>
      <c r="E89" s="1"/>
    </row>
    <row r="90" spans="2:5" x14ac:dyDescent="0.3">
      <c r="B90" s="59" t="s">
        <v>42</v>
      </c>
      <c r="C90" s="51"/>
      <c r="D90" s="3">
        <f>SUM(D77:D89)</f>
        <v>11010.6</v>
      </c>
      <c r="E90" s="1"/>
    </row>
    <row r="91" spans="2:5" x14ac:dyDescent="0.3">
      <c r="B91" s="14"/>
      <c r="C91" s="14"/>
      <c r="D91" s="14"/>
      <c r="E91" s="14"/>
    </row>
    <row r="92" spans="2:5" x14ac:dyDescent="0.3">
      <c r="B92" t="s">
        <v>11</v>
      </c>
    </row>
    <row r="93" spans="2:5" x14ac:dyDescent="0.3">
      <c r="B93" t="s">
        <v>12</v>
      </c>
      <c r="C93" t="s">
        <v>13</v>
      </c>
    </row>
    <row r="97" spans="2:5" ht="15.6" x14ac:dyDescent="0.3">
      <c r="C97" s="4" t="s">
        <v>6</v>
      </c>
      <c r="D97" s="4"/>
    </row>
    <row r="98" spans="2:5" x14ac:dyDescent="0.3">
      <c r="B98" s="5" t="s">
        <v>7</v>
      </c>
      <c r="C98" s="5"/>
      <c r="D98" s="5"/>
      <c r="E98" s="5"/>
    </row>
    <row r="99" spans="2:5" x14ac:dyDescent="0.3">
      <c r="B99" s="5"/>
      <c r="C99" s="5" t="s">
        <v>30</v>
      </c>
      <c r="D99" s="5"/>
      <c r="E99" s="5"/>
    </row>
    <row r="100" spans="2:5" x14ac:dyDescent="0.3">
      <c r="B100" t="s">
        <v>163</v>
      </c>
      <c r="C100" t="s">
        <v>174</v>
      </c>
      <c r="D100" s="6" t="s">
        <v>24</v>
      </c>
    </row>
    <row r="103" spans="2:5" ht="28.8" x14ac:dyDescent="0.3">
      <c r="B103" s="1" t="s">
        <v>0</v>
      </c>
      <c r="C103" s="2" t="s">
        <v>1</v>
      </c>
      <c r="D103" s="2" t="s">
        <v>2</v>
      </c>
      <c r="E103" s="2" t="s">
        <v>3</v>
      </c>
    </row>
    <row r="104" spans="2:5" x14ac:dyDescent="0.3">
      <c r="B104" s="3" t="s">
        <v>4</v>
      </c>
      <c r="C104" s="1">
        <v>22460.94</v>
      </c>
      <c r="D104" s="1">
        <v>20177.27</v>
      </c>
      <c r="E104" s="1">
        <v>107303.59</v>
      </c>
    </row>
    <row r="105" spans="2:5" x14ac:dyDescent="0.3">
      <c r="B105" s="49" t="s">
        <v>10</v>
      </c>
      <c r="C105" s="50"/>
      <c r="D105" s="51"/>
      <c r="E105" s="1">
        <f>C104-E104</f>
        <v>-84842.65</v>
      </c>
    </row>
    <row r="107" spans="2:5" ht="28.8" x14ac:dyDescent="0.3">
      <c r="B107" s="60" t="s">
        <v>37</v>
      </c>
      <c r="C107" s="51"/>
      <c r="D107" s="21" t="s">
        <v>41</v>
      </c>
      <c r="E107" s="3"/>
    </row>
    <row r="108" spans="2:5" x14ac:dyDescent="0.3">
      <c r="B108" s="60" t="s">
        <v>38</v>
      </c>
      <c r="C108" s="51"/>
      <c r="D108" s="1">
        <v>0</v>
      </c>
      <c r="E108" s="1"/>
    </row>
    <row r="109" spans="2:5" x14ac:dyDescent="0.3">
      <c r="B109" s="52"/>
      <c r="C109" s="51"/>
      <c r="D109" s="1">
        <v>0</v>
      </c>
      <c r="E109" s="1"/>
    </row>
    <row r="110" spans="2:5" x14ac:dyDescent="0.3">
      <c r="B110" s="52"/>
      <c r="C110" s="51"/>
      <c r="D110" s="1">
        <v>0</v>
      </c>
      <c r="E110" s="1"/>
    </row>
    <row r="111" spans="2:5" x14ac:dyDescent="0.3">
      <c r="B111" s="60" t="s">
        <v>40</v>
      </c>
      <c r="C111" s="51"/>
      <c r="D111" s="1">
        <v>0</v>
      </c>
      <c r="E111" s="1"/>
    </row>
    <row r="112" spans="2:5" x14ac:dyDescent="0.3">
      <c r="B112" s="52" t="s">
        <v>55</v>
      </c>
      <c r="C112" s="51"/>
      <c r="D112" s="30">
        <v>5410.33</v>
      </c>
      <c r="E112" s="1"/>
    </row>
    <row r="113" spans="2:5" x14ac:dyDescent="0.3">
      <c r="B113" s="52" t="s">
        <v>281</v>
      </c>
      <c r="C113" s="51"/>
      <c r="D113" s="30">
        <v>3603.19</v>
      </c>
      <c r="E113" s="1"/>
    </row>
    <row r="114" spans="2:5" x14ac:dyDescent="0.3">
      <c r="B114" s="61" t="s">
        <v>47</v>
      </c>
      <c r="C114" s="51"/>
      <c r="D114" s="1">
        <v>0</v>
      </c>
      <c r="E114" s="1"/>
    </row>
    <row r="115" spans="2:5" x14ac:dyDescent="0.3">
      <c r="B115" s="52" t="s">
        <v>214</v>
      </c>
      <c r="C115" s="51"/>
      <c r="D115" s="1">
        <f>46445.14+51024.88</f>
        <v>97470.01999999999</v>
      </c>
      <c r="E115" s="1"/>
    </row>
    <row r="116" spans="2:5" ht="15.6" x14ac:dyDescent="0.3">
      <c r="B116" s="52" t="s">
        <v>192</v>
      </c>
      <c r="C116" s="51"/>
      <c r="D116" s="34">
        <v>631.97</v>
      </c>
      <c r="E116" s="1"/>
    </row>
    <row r="117" spans="2:5" x14ac:dyDescent="0.3">
      <c r="B117" s="52"/>
      <c r="C117" s="51"/>
      <c r="D117" s="1">
        <v>0</v>
      </c>
      <c r="E117" s="1"/>
    </row>
    <row r="118" spans="2:5" x14ac:dyDescent="0.3">
      <c r="B118" s="56" t="s">
        <v>52</v>
      </c>
      <c r="C118" s="57"/>
      <c r="D118" s="1">
        <v>0</v>
      </c>
      <c r="E118" s="1"/>
    </row>
    <row r="119" spans="2:5" ht="15.6" x14ac:dyDescent="0.3">
      <c r="B119" s="52" t="s">
        <v>53</v>
      </c>
      <c r="C119" s="51"/>
      <c r="D119" s="34">
        <v>188.08</v>
      </c>
      <c r="E119" s="1"/>
    </row>
    <row r="120" spans="2:5" x14ac:dyDescent="0.3">
      <c r="B120" s="52"/>
      <c r="C120" s="51"/>
      <c r="D120" s="1">
        <v>0</v>
      </c>
      <c r="E120" s="1"/>
    </row>
    <row r="121" spans="2:5" x14ac:dyDescent="0.3">
      <c r="B121" s="59" t="s">
        <v>42</v>
      </c>
      <c r="C121" s="51"/>
      <c r="D121" s="3">
        <f>SUM(D108:D120)</f>
        <v>107303.59</v>
      </c>
      <c r="E121" s="1"/>
    </row>
    <row r="122" spans="2:5" x14ac:dyDescent="0.3">
      <c r="B122" s="14"/>
      <c r="C122" s="14"/>
      <c r="D122" s="14"/>
      <c r="E122" s="14"/>
    </row>
    <row r="123" spans="2:5" x14ac:dyDescent="0.3">
      <c r="B123" t="s">
        <v>11</v>
      </c>
    </row>
    <row r="124" spans="2:5" x14ac:dyDescent="0.3">
      <c r="B124" t="s">
        <v>12</v>
      </c>
      <c r="C124" t="s">
        <v>13</v>
      </c>
    </row>
    <row r="127" spans="2:5" ht="15.6" x14ac:dyDescent="0.3">
      <c r="C127" s="4" t="s">
        <v>6</v>
      </c>
      <c r="D127" s="4"/>
    </row>
    <row r="128" spans="2:5" x14ac:dyDescent="0.3">
      <c r="B128" s="5" t="s">
        <v>7</v>
      </c>
      <c r="C128" s="5"/>
      <c r="D128" s="5"/>
      <c r="E128" s="5"/>
    </row>
    <row r="129" spans="2:5" x14ac:dyDescent="0.3">
      <c r="B129" s="5"/>
      <c r="C129" s="5" t="s">
        <v>30</v>
      </c>
      <c r="D129" s="5"/>
      <c r="E129" s="5"/>
    </row>
    <row r="130" spans="2:5" x14ac:dyDescent="0.3">
      <c r="B130" t="s">
        <v>163</v>
      </c>
      <c r="C130" t="s">
        <v>174</v>
      </c>
      <c r="D130" s="6" t="s">
        <v>181</v>
      </c>
    </row>
    <row r="133" spans="2:5" ht="28.8" x14ac:dyDescent="0.3">
      <c r="B133" s="1" t="s">
        <v>0</v>
      </c>
      <c r="C133" s="2" t="s">
        <v>1</v>
      </c>
      <c r="D133" s="2" t="s">
        <v>2</v>
      </c>
      <c r="E133" s="2" t="s">
        <v>3</v>
      </c>
    </row>
    <row r="134" spans="2:5" x14ac:dyDescent="0.3">
      <c r="B134" s="3" t="s">
        <v>4</v>
      </c>
      <c r="C134" s="1">
        <f>43354.8+2004.92</f>
        <v>45359.72</v>
      </c>
      <c r="D134" s="1">
        <f>39485.52+2004.92</f>
        <v>41490.439999999995</v>
      </c>
      <c r="E134" s="1">
        <v>3303.16</v>
      </c>
    </row>
    <row r="135" spans="2:5" x14ac:dyDescent="0.3">
      <c r="B135" s="49" t="s">
        <v>10</v>
      </c>
      <c r="C135" s="50"/>
      <c r="D135" s="51"/>
      <c r="E135" s="1">
        <f>C134-E134</f>
        <v>42056.56</v>
      </c>
    </row>
    <row r="137" spans="2:5" ht="28.8" x14ac:dyDescent="0.3">
      <c r="B137" s="60" t="s">
        <v>37</v>
      </c>
      <c r="C137" s="51"/>
      <c r="D137" s="21" t="s">
        <v>41</v>
      </c>
      <c r="E137" s="3"/>
    </row>
    <row r="138" spans="2:5" x14ac:dyDescent="0.3">
      <c r="B138" s="60" t="s">
        <v>38</v>
      </c>
      <c r="C138" s="51"/>
      <c r="D138" s="1">
        <v>0</v>
      </c>
      <c r="E138" s="1"/>
    </row>
    <row r="139" spans="2:5" x14ac:dyDescent="0.3">
      <c r="B139" s="52"/>
      <c r="C139" s="51"/>
      <c r="D139" s="1">
        <v>0</v>
      </c>
      <c r="E139" s="1"/>
    </row>
    <row r="140" spans="2:5" x14ac:dyDescent="0.3">
      <c r="B140" s="52"/>
      <c r="C140" s="51"/>
      <c r="D140" s="1">
        <v>0</v>
      </c>
      <c r="E140" s="1"/>
    </row>
    <row r="141" spans="2:5" x14ac:dyDescent="0.3">
      <c r="B141" s="60" t="s">
        <v>40</v>
      </c>
      <c r="C141" s="51"/>
      <c r="D141" s="1">
        <v>0</v>
      </c>
      <c r="E141" s="1"/>
    </row>
    <row r="142" spans="2:5" x14ac:dyDescent="0.3">
      <c r="B142" s="52"/>
      <c r="C142" s="51"/>
      <c r="D142" s="1">
        <v>0</v>
      </c>
      <c r="E142" s="1"/>
    </row>
    <row r="143" spans="2:5" x14ac:dyDescent="0.3">
      <c r="B143" s="52"/>
      <c r="C143" s="51"/>
      <c r="D143" s="1">
        <v>0</v>
      </c>
      <c r="E143" s="1"/>
    </row>
    <row r="144" spans="2:5" x14ac:dyDescent="0.3">
      <c r="B144" s="61" t="s">
        <v>47</v>
      </c>
      <c r="C144" s="51"/>
      <c r="D144" s="1">
        <v>0</v>
      </c>
      <c r="E144" s="1"/>
    </row>
    <row r="145" spans="2:5" x14ac:dyDescent="0.3">
      <c r="B145" s="52"/>
      <c r="C145" s="51"/>
      <c r="D145" s="1">
        <v>0</v>
      </c>
      <c r="E145" s="1"/>
    </row>
    <row r="146" spans="2:5" x14ac:dyDescent="0.3">
      <c r="B146" s="52"/>
      <c r="C146" s="51"/>
      <c r="D146" s="1"/>
      <c r="E146" s="1"/>
    </row>
    <row r="147" spans="2:5" x14ac:dyDescent="0.3">
      <c r="B147" s="52"/>
      <c r="C147" s="51"/>
      <c r="D147" s="1">
        <v>0</v>
      </c>
      <c r="E147" s="1"/>
    </row>
    <row r="148" spans="2:5" x14ac:dyDescent="0.3">
      <c r="B148" s="56" t="s">
        <v>52</v>
      </c>
      <c r="C148" s="57"/>
      <c r="D148" s="1">
        <v>0</v>
      </c>
      <c r="E148" s="1"/>
    </row>
    <row r="149" spans="2:5" ht="15.6" x14ac:dyDescent="0.3">
      <c r="B149" s="52" t="s">
        <v>53</v>
      </c>
      <c r="C149" s="51"/>
      <c r="D149" s="34">
        <v>2468.5500000000002</v>
      </c>
      <c r="E149" s="1"/>
    </row>
    <row r="150" spans="2:5" x14ac:dyDescent="0.3">
      <c r="B150" s="52" t="s">
        <v>282</v>
      </c>
      <c r="C150" s="51"/>
      <c r="D150" s="30">
        <v>834.61</v>
      </c>
      <c r="E150" s="1"/>
    </row>
    <row r="151" spans="2:5" x14ac:dyDescent="0.3">
      <c r="B151" s="59" t="s">
        <v>42</v>
      </c>
      <c r="C151" s="51"/>
      <c r="D151" s="3">
        <f>SUM(D138:D150)</f>
        <v>3303.1600000000003</v>
      </c>
      <c r="E151" s="1"/>
    </row>
    <row r="152" spans="2:5" x14ac:dyDescent="0.3">
      <c r="B152" s="14"/>
      <c r="C152" s="14"/>
      <c r="D152" s="14"/>
      <c r="E152" s="14"/>
    </row>
    <row r="153" spans="2:5" x14ac:dyDescent="0.3">
      <c r="B153" t="s">
        <v>11</v>
      </c>
    </row>
    <row r="154" spans="2:5" x14ac:dyDescent="0.3">
      <c r="B154" t="s">
        <v>12</v>
      </c>
      <c r="C154" t="s">
        <v>13</v>
      </c>
    </row>
    <row r="157" spans="2:5" ht="15.6" x14ac:dyDescent="0.3">
      <c r="C157" s="4" t="s">
        <v>6</v>
      </c>
      <c r="D157" s="4"/>
    </row>
    <row r="158" spans="2:5" x14ac:dyDescent="0.3">
      <c r="B158" s="5" t="s">
        <v>7</v>
      </c>
      <c r="C158" s="5"/>
      <c r="D158" s="5"/>
      <c r="E158" s="5"/>
    </row>
    <row r="159" spans="2:5" x14ac:dyDescent="0.3">
      <c r="B159" s="5"/>
      <c r="C159" s="5" t="s">
        <v>30</v>
      </c>
      <c r="D159" s="5"/>
      <c r="E159" s="5"/>
    </row>
    <row r="160" spans="2:5" x14ac:dyDescent="0.3">
      <c r="B160" t="s">
        <v>163</v>
      </c>
      <c r="C160" t="s">
        <v>174</v>
      </c>
      <c r="D160" s="6" t="s">
        <v>182</v>
      </c>
    </row>
    <row r="163" spans="2:5" ht="28.8" x14ac:dyDescent="0.3">
      <c r="B163" s="1" t="s">
        <v>0</v>
      </c>
      <c r="C163" s="2" t="s">
        <v>1</v>
      </c>
      <c r="D163" s="2" t="s">
        <v>2</v>
      </c>
      <c r="E163" s="2" t="s">
        <v>3</v>
      </c>
    </row>
    <row r="164" spans="2:5" x14ac:dyDescent="0.3">
      <c r="B164" s="3" t="s">
        <v>4</v>
      </c>
      <c r="C164" s="1">
        <v>22063.74</v>
      </c>
      <c r="D164" s="1">
        <v>20451.810000000001</v>
      </c>
      <c r="E164" s="1">
        <v>43395.38</v>
      </c>
    </row>
    <row r="165" spans="2:5" x14ac:dyDescent="0.3">
      <c r="B165" s="49" t="s">
        <v>10</v>
      </c>
      <c r="C165" s="50"/>
      <c r="D165" s="51"/>
      <c r="E165" s="1">
        <f>C164-E164</f>
        <v>-21331.639999999996</v>
      </c>
    </row>
    <row r="167" spans="2:5" ht="28.8" x14ac:dyDescent="0.3">
      <c r="B167" s="60" t="s">
        <v>37</v>
      </c>
      <c r="C167" s="51"/>
      <c r="D167" s="21" t="s">
        <v>41</v>
      </c>
      <c r="E167" s="3"/>
    </row>
    <row r="168" spans="2:5" x14ac:dyDescent="0.3">
      <c r="B168" s="60" t="s">
        <v>38</v>
      </c>
      <c r="C168" s="51"/>
      <c r="D168" s="1">
        <v>0</v>
      </c>
      <c r="E168" s="1"/>
    </row>
    <row r="169" spans="2:5" x14ac:dyDescent="0.3">
      <c r="B169" s="52"/>
      <c r="C169" s="51"/>
      <c r="D169" s="1">
        <v>0</v>
      </c>
      <c r="E169" s="1"/>
    </row>
    <row r="170" spans="2:5" x14ac:dyDescent="0.3">
      <c r="B170" s="52"/>
      <c r="C170" s="51"/>
      <c r="D170" s="1">
        <v>0</v>
      </c>
      <c r="E170" s="1"/>
    </row>
    <row r="171" spans="2:5" x14ac:dyDescent="0.3">
      <c r="B171" s="60" t="s">
        <v>40</v>
      </c>
      <c r="C171" s="51"/>
      <c r="D171" s="1">
        <v>0</v>
      </c>
      <c r="E171" s="1"/>
    </row>
    <row r="172" spans="2:5" x14ac:dyDescent="0.3">
      <c r="B172" s="66" t="s">
        <v>93</v>
      </c>
      <c r="C172" s="65"/>
      <c r="D172" s="27">
        <v>2605.62</v>
      </c>
      <c r="E172" s="1"/>
    </row>
    <row r="173" spans="2:5" x14ac:dyDescent="0.3">
      <c r="B173" s="66" t="s">
        <v>129</v>
      </c>
      <c r="C173" s="65"/>
      <c r="D173" s="27">
        <v>40601.68</v>
      </c>
      <c r="E173" s="1"/>
    </row>
    <row r="174" spans="2:5" x14ac:dyDescent="0.3">
      <c r="B174" s="61" t="s">
        <v>47</v>
      </c>
      <c r="C174" s="51"/>
      <c r="D174" s="1">
        <v>0</v>
      </c>
      <c r="E174" s="1"/>
    </row>
    <row r="175" spans="2:5" x14ac:dyDescent="0.3">
      <c r="B175" s="52"/>
      <c r="C175" s="51"/>
      <c r="D175" s="1">
        <v>0</v>
      </c>
      <c r="E175" s="1"/>
    </row>
    <row r="176" spans="2:5" x14ac:dyDescent="0.3">
      <c r="B176" s="52"/>
      <c r="C176" s="51"/>
      <c r="D176" s="1"/>
      <c r="E176" s="1"/>
    </row>
    <row r="177" spans="2:5" x14ac:dyDescent="0.3">
      <c r="B177" s="52"/>
      <c r="C177" s="51"/>
      <c r="D177" s="1">
        <v>0</v>
      </c>
      <c r="E177" s="1"/>
    </row>
    <row r="178" spans="2:5" x14ac:dyDescent="0.3">
      <c r="B178" s="56" t="s">
        <v>52</v>
      </c>
      <c r="C178" s="57"/>
      <c r="D178" s="1">
        <v>0</v>
      </c>
      <c r="E178" s="1"/>
    </row>
    <row r="179" spans="2:5" ht="15.6" x14ac:dyDescent="0.3">
      <c r="B179" s="52" t="s">
        <v>53</v>
      </c>
      <c r="C179" s="51"/>
      <c r="D179" s="34">
        <v>188.08</v>
      </c>
      <c r="E179" s="1"/>
    </row>
    <row r="180" spans="2:5" x14ac:dyDescent="0.3">
      <c r="B180" s="52"/>
      <c r="C180" s="51"/>
      <c r="D180" s="1">
        <v>0</v>
      </c>
      <c r="E180" s="1"/>
    </row>
    <row r="181" spans="2:5" x14ac:dyDescent="0.3">
      <c r="B181" s="59" t="s">
        <v>42</v>
      </c>
      <c r="C181" s="51"/>
      <c r="D181" s="3">
        <f>SUM(D168:D180)</f>
        <v>43395.380000000005</v>
      </c>
      <c r="E181" s="1"/>
    </row>
    <row r="182" spans="2:5" x14ac:dyDescent="0.3">
      <c r="B182" s="14"/>
      <c r="C182" s="14"/>
      <c r="D182" s="14"/>
      <c r="E182" s="14"/>
    </row>
    <row r="183" spans="2:5" x14ac:dyDescent="0.3">
      <c r="B183" t="s">
        <v>11</v>
      </c>
    </row>
    <row r="184" spans="2:5" x14ac:dyDescent="0.3">
      <c r="B184" t="s">
        <v>12</v>
      </c>
      <c r="C184" t="s">
        <v>13</v>
      </c>
    </row>
    <row r="188" spans="2:5" ht="15.6" x14ac:dyDescent="0.3">
      <c r="C188" s="4" t="s">
        <v>6</v>
      </c>
      <c r="D188" s="4"/>
    </row>
    <row r="189" spans="2:5" x14ac:dyDescent="0.3">
      <c r="B189" s="5" t="s">
        <v>7</v>
      </c>
      <c r="C189" s="5"/>
      <c r="D189" s="5"/>
      <c r="E189" s="5"/>
    </row>
    <row r="190" spans="2:5" x14ac:dyDescent="0.3">
      <c r="B190" s="5"/>
      <c r="C190" s="5" t="s">
        <v>30</v>
      </c>
      <c r="D190" s="5"/>
      <c r="E190" s="5"/>
    </row>
    <row r="191" spans="2:5" x14ac:dyDescent="0.3">
      <c r="B191" t="s">
        <v>163</v>
      </c>
      <c r="C191" t="s">
        <v>174</v>
      </c>
      <c r="D191" s="6" t="s">
        <v>183</v>
      </c>
    </row>
    <row r="194" spans="2:5" ht="28.8" x14ac:dyDescent="0.3">
      <c r="B194" s="1" t="s">
        <v>0</v>
      </c>
      <c r="C194" s="2" t="s">
        <v>1</v>
      </c>
      <c r="D194" s="2" t="s">
        <v>2</v>
      </c>
      <c r="E194" s="2" t="s">
        <v>3</v>
      </c>
    </row>
    <row r="195" spans="2:5" x14ac:dyDescent="0.3">
      <c r="B195" s="3" t="s">
        <v>4</v>
      </c>
      <c r="C195" s="1">
        <f>52502.85+8078.5</f>
        <v>60581.35</v>
      </c>
      <c r="D195" s="1">
        <f>45578.35+8078.5</f>
        <v>53656.85</v>
      </c>
      <c r="E195" s="1">
        <v>80545.929999999993</v>
      </c>
    </row>
    <row r="196" spans="2:5" x14ac:dyDescent="0.3">
      <c r="B196" s="49" t="s">
        <v>10</v>
      </c>
      <c r="C196" s="50"/>
      <c r="D196" s="51"/>
      <c r="E196" s="1">
        <f>C195-E195</f>
        <v>-19964.579999999994</v>
      </c>
    </row>
    <row r="198" spans="2:5" ht="28.8" x14ac:dyDescent="0.3">
      <c r="B198" s="60" t="s">
        <v>37</v>
      </c>
      <c r="C198" s="51"/>
      <c r="D198" s="21" t="s">
        <v>41</v>
      </c>
      <c r="E198" s="3"/>
    </row>
    <row r="199" spans="2:5" x14ac:dyDescent="0.3">
      <c r="B199" s="60" t="s">
        <v>38</v>
      </c>
      <c r="C199" s="51"/>
      <c r="D199" s="1">
        <v>0</v>
      </c>
      <c r="E199" s="1"/>
    </row>
    <row r="200" spans="2:5" ht="15.6" x14ac:dyDescent="0.3">
      <c r="B200" s="52" t="s">
        <v>218</v>
      </c>
      <c r="C200" s="51"/>
      <c r="D200" s="34">
        <v>4214.72</v>
      </c>
      <c r="E200" s="1"/>
    </row>
    <row r="201" spans="2:5" ht="15.6" x14ac:dyDescent="0.3">
      <c r="B201" s="52" t="s">
        <v>283</v>
      </c>
      <c r="C201" s="51"/>
      <c r="D201" s="32">
        <v>559.96</v>
      </c>
      <c r="E201" s="1"/>
    </row>
    <row r="202" spans="2:5" x14ac:dyDescent="0.3">
      <c r="B202" s="60" t="s">
        <v>40</v>
      </c>
      <c r="C202" s="51"/>
      <c r="D202" s="1">
        <v>0</v>
      </c>
      <c r="E202" s="1"/>
    </row>
    <row r="203" spans="2:5" ht="14.4" customHeight="1" x14ac:dyDescent="0.3">
      <c r="B203" s="52" t="s">
        <v>270</v>
      </c>
      <c r="C203" s="62"/>
      <c r="D203" s="34">
        <v>848.32</v>
      </c>
      <c r="E203" s="1"/>
    </row>
    <row r="204" spans="2:5" x14ac:dyDescent="0.3">
      <c r="B204" s="52" t="s">
        <v>190</v>
      </c>
      <c r="C204" s="62"/>
      <c r="D204" s="27">
        <v>9957</v>
      </c>
      <c r="E204" s="1"/>
    </row>
    <row r="205" spans="2:5" ht="15.6" x14ac:dyDescent="0.3">
      <c r="B205" s="52" t="s">
        <v>55</v>
      </c>
      <c r="C205" s="62"/>
      <c r="D205" s="32">
        <v>2271.04</v>
      </c>
      <c r="E205" s="1"/>
    </row>
    <row r="206" spans="2:5" ht="15.6" x14ac:dyDescent="0.3">
      <c r="B206" s="52" t="s">
        <v>284</v>
      </c>
      <c r="C206" s="62"/>
      <c r="D206" s="32">
        <f>60000+720.05</f>
        <v>60720.05</v>
      </c>
      <c r="E206" s="1"/>
    </row>
    <row r="207" spans="2:5" x14ac:dyDescent="0.3">
      <c r="B207" s="61" t="s">
        <v>47</v>
      </c>
      <c r="C207" s="51"/>
      <c r="D207" s="1">
        <v>0</v>
      </c>
      <c r="E207" s="1"/>
    </row>
    <row r="208" spans="2:5" x14ac:dyDescent="0.3">
      <c r="B208" s="52"/>
      <c r="C208" s="51"/>
      <c r="D208" s="1">
        <v>0</v>
      </c>
      <c r="E208" s="1"/>
    </row>
    <row r="209" spans="2:5" x14ac:dyDescent="0.3">
      <c r="B209" s="52"/>
      <c r="C209" s="51"/>
      <c r="D209" s="1"/>
      <c r="E209" s="1"/>
    </row>
    <row r="210" spans="2:5" x14ac:dyDescent="0.3">
      <c r="B210" s="52"/>
      <c r="C210" s="51"/>
      <c r="D210" s="1">
        <v>0</v>
      </c>
      <c r="E210" s="1"/>
    </row>
    <row r="211" spans="2:5" x14ac:dyDescent="0.3">
      <c r="B211" s="56" t="s">
        <v>52</v>
      </c>
      <c r="C211" s="57"/>
      <c r="D211" s="1">
        <v>0</v>
      </c>
      <c r="E211" s="1"/>
    </row>
    <row r="212" spans="2:5" ht="15.6" x14ac:dyDescent="0.3">
      <c r="B212" s="52" t="s">
        <v>53</v>
      </c>
      <c r="C212" s="51"/>
      <c r="D212" s="34">
        <v>1974.84</v>
      </c>
      <c r="E212" s="1"/>
    </row>
    <row r="213" spans="2:5" x14ac:dyDescent="0.3">
      <c r="B213" s="52"/>
      <c r="C213" s="51"/>
      <c r="D213" s="1">
        <v>0</v>
      </c>
      <c r="E213" s="1"/>
    </row>
    <row r="214" spans="2:5" x14ac:dyDescent="0.3">
      <c r="B214" s="59" t="s">
        <v>42</v>
      </c>
      <c r="C214" s="51"/>
      <c r="D214" s="3">
        <f>SUM(D199:D213)</f>
        <v>80545.929999999993</v>
      </c>
      <c r="E214" s="1"/>
    </row>
    <row r="215" spans="2:5" x14ac:dyDescent="0.3">
      <c r="B215" s="14"/>
      <c r="C215" s="14"/>
      <c r="D215" s="14"/>
      <c r="E215" s="14"/>
    </row>
    <row r="216" spans="2:5" x14ac:dyDescent="0.3">
      <c r="B216" t="s">
        <v>11</v>
      </c>
    </row>
    <row r="217" spans="2:5" x14ac:dyDescent="0.3">
      <c r="B217" t="s">
        <v>12</v>
      </c>
      <c r="C217" t="s">
        <v>13</v>
      </c>
    </row>
    <row r="220" spans="2:5" ht="15.6" x14ac:dyDescent="0.3">
      <c r="C220" s="4" t="s">
        <v>6</v>
      </c>
      <c r="D220" s="4"/>
    </row>
    <row r="221" spans="2:5" x14ac:dyDescent="0.3">
      <c r="B221" s="5" t="s">
        <v>7</v>
      </c>
      <c r="C221" s="5"/>
      <c r="D221" s="5"/>
      <c r="E221" s="5"/>
    </row>
    <row r="222" spans="2:5" x14ac:dyDescent="0.3">
      <c r="B222" s="5"/>
      <c r="C222" s="5" t="s">
        <v>30</v>
      </c>
      <c r="D222" s="5"/>
      <c r="E222" s="5"/>
    </row>
    <row r="223" spans="2:5" x14ac:dyDescent="0.3">
      <c r="B223" t="s">
        <v>163</v>
      </c>
      <c r="C223" t="s">
        <v>174</v>
      </c>
      <c r="D223" s="6" t="s">
        <v>26</v>
      </c>
    </row>
    <row r="226" spans="2:5" ht="28.8" x14ac:dyDescent="0.3">
      <c r="B226" s="1" t="s">
        <v>0</v>
      </c>
      <c r="C226" s="2" t="s">
        <v>1</v>
      </c>
      <c r="D226" s="2" t="s">
        <v>2</v>
      </c>
      <c r="E226" s="2" t="s">
        <v>3</v>
      </c>
    </row>
    <row r="227" spans="2:5" x14ac:dyDescent="0.3">
      <c r="B227" s="3" t="s">
        <v>4</v>
      </c>
      <c r="C227" s="1">
        <v>20034.48</v>
      </c>
      <c r="D227" s="1">
        <v>16185.34</v>
      </c>
      <c r="E227" s="1">
        <v>3949.59</v>
      </c>
    </row>
    <row r="228" spans="2:5" x14ac:dyDescent="0.3">
      <c r="B228" s="49" t="s">
        <v>10</v>
      </c>
      <c r="C228" s="50"/>
      <c r="D228" s="51"/>
      <c r="E228" s="1">
        <f>C227-E227</f>
        <v>16084.89</v>
      </c>
    </row>
    <row r="230" spans="2:5" ht="28.8" x14ac:dyDescent="0.3">
      <c r="B230" s="60" t="s">
        <v>37</v>
      </c>
      <c r="C230" s="51"/>
      <c r="D230" s="21" t="s">
        <v>41</v>
      </c>
      <c r="E230" s="3"/>
    </row>
    <row r="231" spans="2:5" x14ac:dyDescent="0.3">
      <c r="B231" s="60" t="s">
        <v>38</v>
      </c>
      <c r="C231" s="51"/>
      <c r="D231" s="1">
        <v>0</v>
      </c>
      <c r="E231" s="1"/>
    </row>
    <row r="232" spans="2:5" ht="15.6" x14ac:dyDescent="0.3">
      <c r="B232" s="52" t="s">
        <v>218</v>
      </c>
      <c r="C232" s="51"/>
      <c r="D232" s="34">
        <v>2247.85</v>
      </c>
      <c r="E232" s="1"/>
    </row>
    <row r="233" spans="2:5" x14ac:dyDescent="0.3">
      <c r="B233" s="52"/>
      <c r="C233" s="51"/>
      <c r="D233" s="1">
        <v>0</v>
      </c>
      <c r="E233" s="1"/>
    </row>
    <row r="234" spans="2:5" x14ac:dyDescent="0.3">
      <c r="B234" s="60" t="s">
        <v>40</v>
      </c>
      <c r="C234" s="51"/>
      <c r="D234" s="1">
        <v>0</v>
      </c>
      <c r="E234" s="1"/>
    </row>
    <row r="235" spans="2:5" x14ac:dyDescent="0.3">
      <c r="B235" s="52"/>
      <c r="C235" s="51"/>
      <c r="D235" s="1">
        <v>0</v>
      </c>
      <c r="E235" s="1"/>
    </row>
    <row r="236" spans="2:5" x14ac:dyDescent="0.3">
      <c r="B236" s="52"/>
      <c r="C236" s="51"/>
      <c r="D236" s="1">
        <v>0</v>
      </c>
      <c r="E236" s="1"/>
    </row>
    <row r="237" spans="2:5" x14ac:dyDescent="0.3">
      <c r="B237" s="61" t="s">
        <v>47</v>
      </c>
      <c r="C237" s="51"/>
      <c r="D237" s="1">
        <v>0</v>
      </c>
      <c r="E237" s="1"/>
    </row>
    <row r="238" spans="2:5" ht="15.6" x14ac:dyDescent="0.3">
      <c r="B238" s="52" t="s">
        <v>192</v>
      </c>
      <c r="C238" s="51"/>
      <c r="D238" s="34">
        <v>1322.23</v>
      </c>
      <c r="E238" s="1"/>
    </row>
    <row r="239" spans="2:5" ht="15.6" x14ac:dyDescent="0.3">
      <c r="B239" s="52" t="s">
        <v>204</v>
      </c>
      <c r="C239" s="51"/>
      <c r="D239" s="34">
        <v>191.43</v>
      </c>
      <c r="E239" s="1"/>
    </row>
    <row r="240" spans="2:5" x14ac:dyDescent="0.3">
      <c r="B240" s="52"/>
      <c r="C240" s="51"/>
      <c r="D240" s="1">
        <v>0</v>
      </c>
      <c r="E240" s="1"/>
    </row>
    <row r="241" spans="2:5" x14ac:dyDescent="0.3">
      <c r="B241" s="56" t="s">
        <v>52</v>
      </c>
      <c r="C241" s="57"/>
      <c r="D241" s="1">
        <v>0</v>
      </c>
      <c r="E241" s="1"/>
    </row>
    <row r="242" spans="2:5" ht="15.6" x14ac:dyDescent="0.3">
      <c r="B242" s="52" t="s">
        <v>53</v>
      </c>
      <c r="C242" s="51"/>
      <c r="D242" s="34">
        <v>188.08</v>
      </c>
      <c r="E242" s="1"/>
    </row>
    <row r="243" spans="2:5" x14ac:dyDescent="0.3">
      <c r="B243" s="52"/>
      <c r="C243" s="51"/>
      <c r="D243" s="1">
        <v>0</v>
      </c>
      <c r="E243" s="1"/>
    </row>
    <row r="244" spans="2:5" x14ac:dyDescent="0.3">
      <c r="B244" s="59" t="s">
        <v>42</v>
      </c>
      <c r="C244" s="51"/>
      <c r="D244" s="3">
        <f>SUM(D231:D243)</f>
        <v>3949.5899999999997</v>
      </c>
      <c r="E244" s="1"/>
    </row>
    <row r="245" spans="2:5" x14ac:dyDescent="0.3">
      <c r="B245" s="14"/>
      <c r="C245" s="14"/>
      <c r="D245" s="14"/>
      <c r="E245" s="14"/>
    </row>
    <row r="246" spans="2:5" x14ac:dyDescent="0.3">
      <c r="B246" t="s">
        <v>11</v>
      </c>
    </row>
    <row r="247" spans="2:5" x14ac:dyDescent="0.3">
      <c r="B247" t="s">
        <v>12</v>
      </c>
      <c r="C247" t="s">
        <v>13</v>
      </c>
    </row>
    <row r="250" spans="2:5" ht="15.6" x14ac:dyDescent="0.3">
      <c r="C250" s="4" t="s">
        <v>6</v>
      </c>
      <c r="D250" s="4"/>
    </row>
    <row r="251" spans="2:5" x14ac:dyDescent="0.3">
      <c r="B251" s="5" t="s">
        <v>7</v>
      </c>
      <c r="C251" s="5"/>
      <c r="D251" s="5"/>
      <c r="E251" s="5"/>
    </row>
    <row r="252" spans="2:5" x14ac:dyDescent="0.3">
      <c r="B252" s="5"/>
      <c r="C252" s="5" t="s">
        <v>30</v>
      </c>
      <c r="D252" s="5"/>
      <c r="E252" s="5"/>
    </row>
    <row r="253" spans="2:5" x14ac:dyDescent="0.3">
      <c r="B253" t="s">
        <v>163</v>
      </c>
      <c r="C253" t="s">
        <v>174</v>
      </c>
      <c r="D253" s="6" t="s">
        <v>167</v>
      </c>
    </row>
    <row r="256" spans="2:5" ht="28.8" x14ac:dyDescent="0.3">
      <c r="B256" s="1" t="s">
        <v>0</v>
      </c>
      <c r="C256" s="2" t="s">
        <v>1</v>
      </c>
      <c r="D256" s="2" t="s">
        <v>2</v>
      </c>
      <c r="E256" s="2" t="s">
        <v>3</v>
      </c>
    </row>
    <row r="257" spans="2:5" x14ac:dyDescent="0.3">
      <c r="B257" s="3" t="s">
        <v>4</v>
      </c>
      <c r="C257" s="1">
        <f>34408.14+23872.74</f>
        <v>58280.880000000005</v>
      </c>
      <c r="D257" s="1">
        <f>31983.72+23872.74</f>
        <v>55856.460000000006</v>
      </c>
      <c r="E257" s="1">
        <v>5812.69</v>
      </c>
    </row>
    <row r="258" spans="2:5" x14ac:dyDescent="0.3">
      <c r="B258" s="49" t="s">
        <v>10</v>
      </c>
      <c r="C258" s="50"/>
      <c r="D258" s="51"/>
      <c r="E258" s="1">
        <f>C257-E257</f>
        <v>52468.19</v>
      </c>
    </row>
    <row r="260" spans="2:5" ht="28.8" x14ac:dyDescent="0.3">
      <c r="B260" s="60" t="s">
        <v>37</v>
      </c>
      <c r="C260" s="51"/>
      <c r="D260" s="21" t="s">
        <v>41</v>
      </c>
      <c r="E260" s="3"/>
    </row>
    <row r="261" spans="2:5" x14ac:dyDescent="0.3">
      <c r="B261" s="60" t="s">
        <v>38</v>
      </c>
      <c r="C261" s="51"/>
      <c r="D261" s="1">
        <v>0</v>
      </c>
      <c r="E261" s="1"/>
    </row>
    <row r="262" spans="2:5" ht="15.6" x14ac:dyDescent="0.3">
      <c r="B262" s="52" t="s">
        <v>218</v>
      </c>
      <c r="C262" s="51"/>
      <c r="D262" s="34">
        <v>4214.72</v>
      </c>
      <c r="E262" s="1"/>
    </row>
    <row r="263" spans="2:5" x14ac:dyDescent="0.3">
      <c r="B263" s="52"/>
      <c r="C263" s="51"/>
      <c r="D263" s="1">
        <v>0</v>
      </c>
      <c r="E263" s="1"/>
    </row>
    <row r="264" spans="2:5" x14ac:dyDescent="0.3">
      <c r="B264" s="60" t="s">
        <v>40</v>
      </c>
      <c r="C264" s="51"/>
      <c r="D264" s="1">
        <v>0</v>
      </c>
      <c r="E264" s="1"/>
    </row>
    <row r="265" spans="2:5" ht="15.6" x14ac:dyDescent="0.3">
      <c r="B265" s="52" t="s">
        <v>285</v>
      </c>
      <c r="C265" s="51"/>
      <c r="D265" s="32">
        <v>1315.85</v>
      </c>
      <c r="E265" s="1"/>
    </row>
    <row r="266" spans="2:5" x14ac:dyDescent="0.3">
      <c r="B266" s="52"/>
      <c r="C266" s="51"/>
      <c r="D266" s="1">
        <v>0</v>
      </c>
      <c r="E266" s="1"/>
    </row>
    <row r="267" spans="2:5" x14ac:dyDescent="0.3">
      <c r="B267" s="61" t="s">
        <v>47</v>
      </c>
      <c r="C267" s="51"/>
      <c r="D267" s="1">
        <v>0</v>
      </c>
      <c r="E267" s="1"/>
    </row>
    <row r="268" spans="2:5" x14ac:dyDescent="0.3">
      <c r="B268" s="52"/>
      <c r="C268" s="51"/>
      <c r="D268" s="1">
        <v>0</v>
      </c>
      <c r="E268" s="1"/>
    </row>
    <row r="269" spans="2:5" x14ac:dyDescent="0.3">
      <c r="B269" s="52"/>
      <c r="C269" s="51"/>
      <c r="D269" s="1"/>
      <c r="E269" s="1"/>
    </row>
    <row r="270" spans="2:5" x14ac:dyDescent="0.3">
      <c r="B270" s="52"/>
      <c r="C270" s="51"/>
      <c r="D270" s="1">
        <v>0</v>
      </c>
      <c r="E270" s="1"/>
    </row>
    <row r="271" spans="2:5" x14ac:dyDescent="0.3">
      <c r="B271" s="56" t="s">
        <v>52</v>
      </c>
      <c r="C271" s="57"/>
      <c r="D271" s="1">
        <v>0</v>
      </c>
      <c r="E271" s="1"/>
    </row>
    <row r="272" spans="2:5" ht="15.6" x14ac:dyDescent="0.3">
      <c r="B272" s="52" t="s">
        <v>53</v>
      </c>
      <c r="C272" s="51"/>
      <c r="D272" s="34">
        <v>282.12</v>
      </c>
      <c r="E272" s="1"/>
    </row>
    <row r="273" spans="2:5" x14ac:dyDescent="0.3">
      <c r="B273" s="52"/>
      <c r="C273" s="51"/>
      <c r="D273" s="1">
        <v>0</v>
      </c>
      <c r="E273" s="1"/>
    </row>
    <row r="274" spans="2:5" x14ac:dyDescent="0.3">
      <c r="B274" s="59" t="s">
        <v>42</v>
      </c>
      <c r="C274" s="51"/>
      <c r="D274" s="3">
        <f>SUM(D261:D273)</f>
        <v>5812.69</v>
      </c>
      <c r="E274" s="1"/>
    </row>
    <row r="275" spans="2:5" x14ac:dyDescent="0.3">
      <c r="B275" s="14"/>
      <c r="C275" s="14"/>
      <c r="D275" s="14"/>
      <c r="E275" s="14"/>
    </row>
    <row r="276" spans="2:5" x14ac:dyDescent="0.3">
      <c r="B276" t="s">
        <v>11</v>
      </c>
    </row>
    <row r="277" spans="2:5" x14ac:dyDescent="0.3">
      <c r="B277" t="s">
        <v>12</v>
      </c>
      <c r="C277" t="s">
        <v>13</v>
      </c>
    </row>
    <row r="281" spans="2:5" ht="15.6" x14ac:dyDescent="0.3">
      <c r="C281" s="4" t="s">
        <v>6</v>
      </c>
      <c r="D281" s="4"/>
    </row>
    <row r="282" spans="2:5" x14ac:dyDescent="0.3">
      <c r="B282" s="5" t="s">
        <v>7</v>
      </c>
      <c r="C282" s="5"/>
      <c r="D282" s="5"/>
      <c r="E282" s="5"/>
    </row>
    <row r="283" spans="2:5" x14ac:dyDescent="0.3">
      <c r="B283" s="5"/>
      <c r="C283" s="5" t="s">
        <v>30</v>
      </c>
      <c r="D283" s="5"/>
      <c r="E283" s="5"/>
    </row>
    <row r="284" spans="2:5" x14ac:dyDescent="0.3">
      <c r="B284" t="s">
        <v>163</v>
      </c>
      <c r="C284" t="s">
        <v>174</v>
      </c>
      <c r="D284" s="6" t="s">
        <v>184</v>
      </c>
    </row>
    <row r="287" spans="2:5" ht="28.8" x14ac:dyDescent="0.3">
      <c r="B287" s="1" t="s">
        <v>0</v>
      </c>
      <c r="C287" s="2" t="s">
        <v>1</v>
      </c>
      <c r="D287" s="2" t="s">
        <v>2</v>
      </c>
      <c r="E287" s="2" t="s">
        <v>3</v>
      </c>
    </row>
    <row r="288" spans="2:5" x14ac:dyDescent="0.3">
      <c r="B288" s="3" t="s">
        <v>4</v>
      </c>
      <c r="C288" s="1">
        <v>18392.34</v>
      </c>
      <c r="D288" s="1">
        <v>16298.79</v>
      </c>
      <c r="E288" s="1">
        <v>62320.24</v>
      </c>
    </row>
    <row r="289" spans="2:5" x14ac:dyDescent="0.3">
      <c r="B289" s="49" t="s">
        <v>10</v>
      </c>
      <c r="C289" s="50"/>
      <c r="D289" s="51"/>
      <c r="E289" s="1">
        <f>C288-E288</f>
        <v>-43927.899999999994</v>
      </c>
    </row>
    <row r="291" spans="2:5" ht="28.8" x14ac:dyDescent="0.3">
      <c r="B291" s="60" t="s">
        <v>37</v>
      </c>
      <c r="C291" s="51"/>
      <c r="D291" s="21" t="s">
        <v>41</v>
      </c>
      <c r="E291" s="3"/>
    </row>
    <row r="292" spans="2:5" x14ac:dyDescent="0.3">
      <c r="B292" s="60" t="s">
        <v>38</v>
      </c>
      <c r="C292" s="51"/>
      <c r="D292" s="1">
        <v>0</v>
      </c>
      <c r="E292" s="1"/>
    </row>
    <row r="293" spans="2:5" x14ac:dyDescent="0.3">
      <c r="B293" s="52"/>
      <c r="C293" s="51"/>
      <c r="D293" s="1">
        <v>0</v>
      </c>
      <c r="E293" s="1"/>
    </row>
    <row r="294" spans="2:5" x14ac:dyDescent="0.3">
      <c r="B294" s="52"/>
      <c r="C294" s="51"/>
      <c r="D294" s="1">
        <v>0</v>
      </c>
      <c r="E294" s="1"/>
    </row>
    <row r="295" spans="2:5" x14ac:dyDescent="0.3">
      <c r="B295" s="60" t="s">
        <v>40</v>
      </c>
      <c r="C295" s="51"/>
      <c r="D295" s="1">
        <v>0</v>
      </c>
      <c r="E295" s="1"/>
    </row>
    <row r="296" spans="2:5" x14ac:dyDescent="0.3">
      <c r="B296" s="52" t="s">
        <v>286</v>
      </c>
      <c r="C296" s="51"/>
      <c r="D296" s="27">
        <v>9772.9599999999991</v>
      </c>
      <c r="E296" s="1"/>
    </row>
    <row r="297" spans="2:5" ht="15.6" x14ac:dyDescent="0.3">
      <c r="B297" s="52" t="s">
        <v>287</v>
      </c>
      <c r="C297" s="51"/>
      <c r="D297" s="32">
        <v>3040.02</v>
      </c>
      <c r="E297" s="1"/>
    </row>
    <row r="298" spans="2:5" x14ac:dyDescent="0.3">
      <c r="B298" s="61" t="s">
        <v>47</v>
      </c>
      <c r="C298" s="51"/>
      <c r="D298" s="1">
        <v>0</v>
      </c>
      <c r="E298" s="1"/>
    </row>
    <row r="299" spans="2:5" x14ac:dyDescent="0.3">
      <c r="B299" s="52" t="s">
        <v>214</v>
      </c>
      <c r="C299" s="51"/>
      <c r="D299" s="30">
        <v>49319.18</v>
      </c>
      <c r="E299" s="1"/>
    </row>
    <row r="300" spans="2:5" x14ac:dyDescent="0.3">
      <c r="B300" s="52"/>
      <c r="C300" s="51"/>
      <c r="D300" s="1"/>
      <c r="E300" s="1"/>
    </row>
    <row r="301" spans="2:5" x14ac:dyDescent="0.3">
      <c r="B301" s="52"/>
      <c r="C301" s="51"/>
      <c r="D301" s="1">
        <v>0</v>
      </c>
      <c r="E301" s="1"/>
    </row>
    <row r="302" spans="2:5" x14ac:dyDescent="0.3">
      <c r="B302" s="56" t="s">
        <v>52</v>
      </c>
      <c r="C302" s="57"/>
      <c r="D302" s="1">
        <v>0</v>
      </c>
      <c r="E302" s="1"/>
    </row>
    <row r="303" spans="2:5" ht="15.6" x14ac:dyDescent="0.3">
      <c r="B303" s="52" t="s">
        <v>53</v>
      </c>
      <c r="C303" s="51"/>
      <c r="D303" s="34">
        <v>188.08</v>
      </c>
      <c r="E303" s="1"/>
    </row>
    <row r="304" spans="2:5" x14ac:dyDescent="0.3">
      <c r="B304" s="52"/>
      <c r="C304" s="51"/>
      <c r="D304" s="1">
        <v>0</v>
      </c>
      <c r="E304" s="1"/>
    </row>
    <row r="305" spans="2:5" x14ac:dyDescent="0.3">
      <c r="B305" s="59" t="s">
        <v>42</v>
      </c>
      <c r="C305" s="51"/>
      <c r="D305" s="3">
        <f>SUM(D292:D304)</f>
        <v>62320.240000000005</v>
      </c>
      <c r="E305" s="1"/>
    </row>
    <row r="306" spans="2:5" x14ac:dyDescent="0.3">
      <c r="B306" s="14"/>
      <c r="C306" s="14"/>
      <c r="D306" s="14"/>
      <c r="E306" s="14"/>
    </row>
    <row r="307" spans="2:5" x14ac:dyDescent="0.3">
      <c r="B307" t="s">
        <v>11</v>
      </c>
    </row>
    <row r="308" spans="2:5" x14ac:dyDescent="0.3">
      <c r="B308" t="s">
        <v>12</v>
      </c>
      <c r="C308" t="s">
        <v>13</v>
      </c>
    </row>
    <row r="312" spans="2:5" ht="15.6" x14ac:dyDescent="0.3">
      <c r="C312" s="4" t="s">
        <v>6</v>
      </c>
      <c r="D312" s="4"/>
    </row>
    <row r="313" spans="2:5" x14ac:dyDescent="0.3">
      <c r="B313" s="5" t="s">
        <v>7</v>
      </c>
      <c r="C313" s="5"/>
      <c r="D313" s="5"/>
      <c r="E313" s="5"/>
    </row>
    <row r="314" spans="2:5" x14ac:dyDescent="0.3">
      <c r="B314" s="5"/>
      <c r="C314" s="5" t="s">
        <v>30</v>
      </c>
      <c r="D314" s="5"/>
      <c r="E314" s="5"/>
    </row>
    <row r="315" spans="2:5" x14ac:dyDescent="0.3">
      <c r="B315" t="s">
        <v>163</v>
      </c>
      <c r="C315" t="s">
        <v>174</v>
      </c>
      <c r="D315" s="6" t="s">
        <v>185</v>
      </c>
    </row>
    <row r="318" spans="2:5" ht="28.8" x14ac:dyDescent="0.3">
      <c r="B318" s="1" t="s">
        <v>0</v>
      </c>
      <c r="C318" s="2" t="s">
        <v>1</v>
      </c>
      <c r="D318" s="2" t="s">
        <v>2</v>
      </c>
      <c r="E318" s="2" t="s">
        <v>3</v>
      </c>
    </row>
    <row r="319" spans="2:5" x14ac:dyDescent="0.3">
      <c r="B319" s="3" t="s">
        <v>4</v>
      </c>
      <c r="C319" s="1">
        <v>18157.080000000002</v>
      </c>
      <c r="D319" s="1">
        <v>16559.96</v>
      </c>
      <c r="E319" s="1">
        <v>8750.0400000000009</v>
      </c>
    </row>
    <row r="320" spans="2:5" x14ac:dyDescent="0.3">
      <c r="B320" s="49" t="s">
        <v>10</v>
      </c>
      <c r="C320" s="50"/>
      <c r="D320" s="51"/>
      <c r="E320" s="1">
        <f>C319-E319</f>
        <v>9407.0400000000009</v>
      </c>
    </row>
    <row r="322" spans="2:5" ht="28.8" x14ac:dyDescent="0.3">
      <c r="B322" s="60" t="s">
        <v>37</v>
      </c>
      <c r="C322" s="51"/>
      <c r="D322" s="21" t="s">
        <v>41</v>
      </c>
      <c r="E322" s="3"/>
    </row>
    <row r="323" spans="2:5" x14ac:dyDescent="0.3">
      <c r="B323" s="60" t="s">
        <v>38</v>
      </c>
      <c r="C323" s="51"/>
      <c r="D323" s="1">
        <v>0</v>
      </c>
      <c r="E323" s="1"/>
    </row>
    <row r="324" spans="2:5" ht="15.6" x14ac:dyDescent="0.3">
      <c r="B324" s="52" t="s">
        <v>288</v>
      </c>
      <c r="C324" s="51"/>
      <c r="D324" s="35">
        <v>8561.9599999999991</v>
      </c>
      <c r="E324" s="1"/>
    </row>
    <row r="325" spans="2:5" x14ac:dyDescent="0.3">
      <c r="B325" s="52"/>
      <c r="C325" s="51"/>
      <c r="D325" s="1">
        <v>0</v>
      </c>
      <c r="E325" s="1"/>
    </row>
    <row r="326" spans="2:5" x14ac:dyDescent="0.3">
      <c r="B326" s="60" t="s">
        <v>40</v>
      </c>
      <c r="C326" s="51"/>
      <c r="D326" s="1">
        <v>0</v>
      </c>
      <c r="E326" s="1"/>
    </row>
    <row r="327" spans="2:5" x14ac:dyDescent="0.3">
      <c r="B327" s="52"/>
      <c r="C327" s="51"/>
      <c r="D327" s="1">
        <v>0</v>
      </c>
      <c r="E327" s="1"/>
    </row>
    <row r="328" spans="2:5" x14ac:dyDescent="0.3">
      <c r="B328" s="52"/>
      <c r="C328" s="51"/>
      <c r="D328" s="1">
        <v>0</v>
      </c>
      <c r="E328" s="1"/>
    </row>
    <row r="329" spans="2:5" x14ac:dyDescent="0.3">
      <c r="B329" s="61" t="s">
        <v>47</v>
      </c>
      <c r="C329" s="51"/>
      <c r="D329" s="1">
        <v>0</v>
      </c>
      <c r="E329" s="1"/>
    </row>
    <row r="330" spans="2:5" x14ac:dyDescent="0.3">
      <c r="B330" s="52"/>
      <c r="C330" s="51"/>
      <c r="D330" s="1">
        <v>0</v>
      </c>
      <c r="E330" s="1"/>
    </row>
    <row r="331" spans="2:5" x14ac:dyDescent="0.3">
      <c r="B331" s="52"/>
      <c r="C331" s="51"/>
      <c r="D331" s="1"/>
      <c r="E331" s="1"/>
    </row>
    <row r="332" spans="2:5" x14ac:dyDescent="0.3">
      <c r="B332" s="52"/>
      <c r="C332" s="51"/>
      <c r="D332" s="1">
        <v>0</v>
      </c>
      <c r="E332" s="1"/>
    </row>
    <row r="333" spans="2:5" x14ac:dyDescent="0.3">
      <c r="B333" s="56" t="s">
        <v>52</v>
      </c>
      <c r="C333" s="57"/>
      <c r="D333" s="1">
        <v>0</v>
      </c>
      <c r="E333" s="1"/>
    </row>
    <row r="334" spans="2:5" ht="15.6" x14ac:dyDescent="0.3">
      <c r="B334" s="52" t="s">
        <v>53</v>
      </c>
      <c r="C334" s="51"/>
      <c r="D334" s="34">
        <v>188.08</v>
      </c>
      <c r="E334" s="1"/>
    </row>
    <row r="335" spans="2:5" x14ac:dyDescent="0.3">
      <c r="B335" s="52"/>
      <c r="C335" s="51"/>
      <c r="D335" s="1">
        <v>0</v>
      </c>
      <c r="E335" s="1"/>
    </row>
    <row r="336" spans="2:5" x14ac:dyDescent="0.3">
      <c r="B336" s="59" t="s">
        <v>42</v>
      </c>
      <c r="C336" s="51"/>
      <c r="D336" s="3">
        <f>SUM(D323:D335)</f>
        <v>8750.0399999999991</v>
      </c>
      <c r="E336" s="1"/>
    </row>
    <row r="337" spans="2:5" x14ac:dyDescent="0.3">
      <c r="B337" s="14"/>
      <c r="C337" s="14"/>
      <c r="D337" s="14"/>
      <c r="E337" s="14"/>
    </row>
    <row r="338" spans="2:5" x14ac:dyDescent="0.3">
      <c r="B338" t="s">
        <v>11</v>
      </c>
    </row>
    <row r="339" spans="2:5" x14ac:dyDescent="0.3">
      <c r="B339" t="s">
        <v>12</v>
      </c>
      <c r="C339" t="s">
        <v>13</v>
      </c>
    </row>
  </sheetData>
  <mergeCells count="178">
    <mergeCell ref="B28:C28"/>
    <mergeCell ref="B43:D43"/>
    <mergeCell ref="B45:C45"/>
    <mergeCell ref="B58:C58"/>
    <mergeCell ref="B59:C59"/>
    <mergeCell ref="B74:D74"/>
    <mergeCell ref="B12:D12"/>
    <mergeCell ref="B14:C14"/>
    <mergeCell ref="B15:C15"/>
    <mergeCell ref="B16:C16"/>
    <mergeCell ref="B17:C17"/>
    <mergeCell ref="B18:C18"/>
    <mergeCell ref="B46:C46"/>
    <mergeCell ref="B47:C47"/>
    <mergeCell ref="B48:C4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52:C52"/>
    <mergeCell ref="B53:C53"/>
    <mergeCell ref="B54:C54"/>
    <mergeCell ref="B55:C55"/>
    <mergeCell ref="B56:C56"/>
    <mergeCell ref="B57:C57"/>
    <mergeCell ref="B49:C49"/>
    <mergeCell ref="B50:C50"/>
    <mergeCell ref="B51:C51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105:D105"/>
    <mergeCell ref="B107:C107"/>
    <mergeCell ref="B108:C108"/>
    <mergeCell ref="B109:C109"/>
    <mergeCell ref="B110:C110"/>
    <mergeCell ref="B111:C111"/>
    <mergeCell ref="B85:C85"/>
    <mergeCell ref="B86:C86"/>
    <mergeCell ref="B87:C87"/>
    <mergeCell ref="B88:C88"/>
    <mergeCell ref="B89:C89"/>
    <mergeCell ref="B90:C90"/>
    <mergeCell ref="B118:C118"/>
    <mergeCell ref="B119:C119"/>
    <mergeCell ref="B120:C120"/>
    <mergeCell ref="B121:C121"/>
    <mergeCell ref="B135:D135"/>
    <mergeCell ref="B137:C137"/>
    <mergeCell ref="B112:C112"/>
    <mergeCell ref="B113:C113"/>
    <mergeCell ref="B114:C114"/>
    <mergeCell ref="B115:C115"/>
    <mergeCell ref="B116:C116"/>
    <mergeCell ref="B117:C117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70:C170"/>
    <mergeCell ref="B171:C171"/>
    <mergeCell ref="B172:C172"/>
    <mergeCell ref="B173:C173"/>
    <mergeCell ref="B174:C174"/>
    <mergeCell ref="B175:C175"/>
    <mergeCell ref="B150:C150"/>
    <mergeCell ref="B151:C151"/>
    <mergeCell ref="B165:D165"/>
    <mergeCell ref="B167:C167"/>
    <mergeCell ref="B168:C168"/>
    <mergeCell ref="B169:C169"/>
    <mergeCell ref="B196:D196"/>
    <mergeCell ref="B198:C198"/>
    <mergeCell ref="B199:C199"/>
    <mergeCell ref="B200:C200"/>
    <mergeCell ref="B201:C201"/>
    <mergeCell ref="B202:C202"/>
    <mergeCell ref="B203:C203"/>
    <mergeCell ref="B204:C204"/>
    <mergeCell ref="B176:C176"/>
    <mergeCell ref="B177:C177"/>
    <mergeCell ref="B178:C178"/>
    <mergeCell ref="B179:C179"/>
    <mergeCell ref="B180:C180"/>
    <mergeCell ref="B181:C181"/>
    <mergeCell ref="B211:C211"/>
    <mergeCell ref="B212:C212"/>
    <mergeCell ref="B213:C213"/>
    <mergeCell ref="B214:C214"/>
    <mergeCell ref="B228:D228"/>
    <mergeCell ref="B230:C230"/>
    <mergeCell ref="B205:C205"/>
    <mergeCell ref="B206:C206"/>
    <mergeCell ref="B207:C207"/>
    <mergeCell ref="B208:C208"/>
    <mergeCell ref="B209:C209"/>
    <mergeCell ref="B210:C210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63:C263"/>
    <mergeCell ref="B264:C264"/>
    <mergeCell ref="B265:C265"/>
    <mergeCell ref="B266:C266"/>
    <mergeCell ref="B267:C267"/>
    <mergeCell ref="B268:C268"/>
    <mergeCell ref="B243:C243"/>
    <mergeCell ref="B244:C244"/>
    <mergeCell ref="B258:D258"/>
    <mergeCell ref="B260:C260"/>
    <mergeCell ref="B261:C261"/>
    <mergeCell ref="B262:C262"/>
    <mergeCell ref="B289:D289"/>
    <mergeCell ref="B291:C291"/>
    <mergeCell ref="B292:C292"/>
    <mergeCell ref="B293:C293"/>
    <mergeCell ref="B294:C294"/>
    <mergeCell ref="B295:C295"/>
    <mergeCell ref="B269:C269"/>
    <mergeCell ref="B270:C270"/>
    <mergeCell ref="B271:C271"/>
    <mergeCell ref="B272:C272"/>
    <mergeCell ref="B273:C273"/>
    <mergeCell ref="B274:C274"/>
    <mergeCell ref="B336:C336"/>
    <mergeCell ref="B329:C329"/>
    <mergeCell ref="B330:C330"/>
    <mergeCell ref="B331:C331"/>
    <mergeCell ref="B332:C332"/>
    <mergeCell ref="B333:C333"/>
    <mergeCell ref="B334:C334"/>
    <mergeCell ref="B323:C323"/>
    <mergeCell ref="B324:C324"/>
    <mergeCell ref="B325:C325"/>
    <mergeCell ref="B326:C326"/>
    <mergeCell ref="B327:C327"/>
    <mergeCell ref="B328:C328"/>
    <mergeCell ref="B302:C302"/>
    <mergeCell ref="B303:C303"/>
    <mergeCell ref="B304:C304"/>
    <mergeCell ref="B305:C305"/>
    <mergeCell ref="B320:D320"/>
    <mergeCell ref="B322:C322"/>
    <mergeCell ref="B296:C296"/>
    <mergeCell ref="B297:C297"/>
    <mergeCell ref="B335:C335"/>
    <mergeCell ref="B298:C298"/>
    <mergeCell ref="B299:C299"/>
    <mergeCell ref="B300:C300"/>
    <mergeCell ref="B301:C3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7"/>
  <sheetViews>
    <sheetView topLeftCell="A125" workbookViewId="0">
      <selection activeCell="F261" sqref="F261"/>
    </sheetView>
  </sheetViews>
  <sheetFormatPr defaultRowHeight="14.4" x14ac:dyDescent="0.3"/>
  <cols>
    <col min="2" max="2" width="28.6640625" customWidth="1"/>
    <col min="3" max="3" width="15.88671875" customWidth="1"/>
    <col min="4" max="4" width="13" customWidth="1"/>
    <col min="5" max="5" width="11.109375" customWidth="1"/>
  </cols>
  <sheetData>
    <row r="4" spans="2:5" ht="15.6" x14ac:dyDescent="0.3">
      <c r="C4" s="4" t="s">
        <v>6</v>
      </c>
      <c r="D4" s="4"/>
    </row>
    <row r="5" spans="2:5" x14ac:dyDescent="0.3">
      <c r="B5" s="5" t="s">
        <v>7</v>
      </c>
      <c r="C5" s="5"/>
      <c r="D5" s="5"/>
      <c r="E5" s="5"/>
    </row>
    <row r="6" spans="2:5" x14ac:dyDescent="0.3">
      <c r="B6" s="5"/>
      <c r="C6" s="5" t="s">
        <v>30</v>
      </c>
      <c r="D6" s="5"/>
      <c r="E6" s="5"/>
    </row>
    <row r="7" spans="2:5" x14ac:dyDescent="0.3">
      <c r="B7" t="s">
        <v>163</v>
      </c>
      <c r="C7" t="s">
        <v>175</v>
      </c>
      <c r="D7" s="6">
        <v>6</v>
      </c>
    </row>
    <row r="10" spans="2:5" ht="28.8" x14ac:dyDescent="0.3">
      <c r="B10" s="1" t="s">
        <v>0</v>
      </c>
      <c r="C10" s="2" t="s">
        <v>1</v>
      </c>
      <c r="D10" s="2" t="s">
        <v>2</v>
      </c>
      <c r="E10" s="2" t="s">
        <v>3</v>
      </c>
    </row>
    <row r="11" spans="2:5" x14ac:dyDescent="0.3">
      <c r="B11" s="3" t="s">
        <v>4</v>
      </c>
      <c r="C11" s="1">
        <v>28431.72</v>
      </c>
      <c r="D11" s="1">
        <v>21170.51</v>
      </c>
      <c r="E11" s="1">
        <v>15141.28</v>
      </c>
    </row>
    <row r="12" spans="2:5" x14ac:dyDescent="0.3">
      <c r="B12" s="49" t="s">
        <v>10</v>
      </c>
      <c r="C12" s="50"/>
      <c r="D12" s="51"/>
      <c r="E12" s="1">
        <f>C11-E11</f>
        <v>13290.44</v>
      </c>
    </row>
    <row r="14" spans="2:5" ht="28.8" x14ac:dyDescent="0.3">
      <c r="B14" s="60" t="s">
        <v>37</v>
      </c>
      <c r="C14" s="51"/>
      <c r="D14" s="21" t="s">
        <v>41</v>
      </c>
      <c r="E14" s="3"/>
    </row>
    <row r="15" spans="2:5" x14ac:dyDescent="0.3">
      <c r="B15" s="60" t="s">
        <v>38</v>
      </c>
      <c r="C15" s="51"/>
      <c r="D15" s="1">
        <v>0</v>
      </c>
      <c r="E15" s="1"/>
    </row>
    <row r="16" spans="2:5" ht="15.6" x14ac:dyDescent="0.3">
      <c r="B16" s="52" t="s">
        <v>305</v>
      </c>
      <c r="C16" s="51"/>
      <c r="D16" s="34">
        <v>332.13</v>
      </c>
      <c r="E16" s="1"/>
    </row>
    <row r="17" spans="2:5" x14ac:dyDescent="0.3">
      <c r="B17" s="52"/>
      <c r="C17" s="51"/>
      <c r="D17" s="1">
        <v>0</v>
      </c>
      <c r="E17" s="1"/>
    </row>
    <row r="18" spans="2:5" x14ac:dyDescent="0.3">
      <c r="B18" s="60" t="s">
        <v>40</v>
      </c>
      <c r="C18" s="51"/>
      <c r="D18" s="1">
        <v>0</v>
      </c>
      <c r="E18" s="1"/>
    </row>
    <row r="19" spans="2:5" ht="15.6" x14ac:dyDescent="0.3">
      <c r="B19" s="52" t="s">
        <v>195</v>
      </c>
      <c r="C19" s="51"/>
      <c r="D19" s="34">
        <v>167.13</v>
      </c>
      <c r="E19" s="1"/>
    </row>
    <row r="20" spans="2:5" x14ac:dyDescent="0.3">
      <c r="B20" s="52"/>
      <c r="C20" s="51"/>
      <c r="D20" s="1">
        <v>0</v>
      </c>
      <c r="E20" s="1"/>
    </row>
    <row r="21" spans="2:5" x14ac:dyDescent="0.3">
      <c r="B21" s="61" t="s">
        <v>47</v>
      </c>
      <c r="C21" s="51"/>
      <c r="D21" s="1">
        <v>0</v>
      </c>
      <c r="E21" s="1"/>
    </row>
    <row r="22" spans="2:5" ht="15.6" x14ac:dyDescent="0.3">
      <c r="B22" s="52" t="s">
        <v>229</v>
      </c>
      <c r="C22" s="51"/>
      <c r="D22" s="34">
        <v>323.88</v>
      </c>
      <c r="E22" s="1"/>
    </row>
    <row r="23" spans="2:5" x14ac:dyDescent="0.3">
      <c r="B23" s="52"/>
      <c r="C23" s="51"/>
      <c r="D23" s="1"/>
      <c r="E23" s="1"/>
    </row>
    <row r="24" spans="2:5" x14ac:dyDescent="0.3">
      <c r="B24" s="52"/>
      <c r="C24" s="51"/>
      <c r="D24" s="1">
        <v>0</v>
      </c>
      <c r="E24" s="1"/>
    </row>
    <row r="25" spans="2:5" x14ac:dyDescent="0.3">
      <c r="B25" s="56" t="s">
        <v>52</v>
      </c>
      <c r="C25" s="57"/>
      <c r="D25" s="1">
        <v>0</v>
      </c>
      <c r="E25" s="1"/>
    </row>
    <row r="26" spans="2:5" ht="15.6" x14ac:dyDescent="0.3">
      <c r="B26" s="52" t="s">
        <v>53</v>
      </c>
      <c r="C26" s="51"/>
      <c r="D26" s="34">
        <v>376.16</v>
      </c>
      <c r="E26" s="1"/>
    </row>
    <row r="27" spans="2:5" x14ac:dyDescent="0.3">
      <c r="B27" s="52" t="s">
        <v>196</v>
      </c>
      <c r="C27" s="51"/>
      <c r="D27" s="1">
        <f>10237.64+3704.34</f>
        <v>13941.98</v>
      </c>
      <c r="E27" s="1"/>
    </row>
    <row r="28" spans="2:5" x14ac:dyDescent="0.3">
      <c r="B28" s="59" t="s">
        <v>42</v>
      </c>
      <c r="C28" s="51"/>
      <c r="D28" s="3">
        <f>SUM(D15:D27)</f>
        <v>15141.279999999999</v>
      </c>
      <c r="E28" s="1"/>
    </row>
    <row r="29" spans="2:5" x14ac:dyDescent="0.3">
      <c r="B29" s="14"/>
      <c r="C29" s="14"/>
      <c r="D29" s="14"/>
      <c r="E29" s="14"/>
    </row>
    <row r="30" spans="2:5" x14ac:dyDescent="0.3">
      <c r="B30" t="s">
        <v>11</v>
      </c>
    </row>
    <row r="31" spans="2:5" x14ac:dyDescent="0.3">
      <c r="B31" t="s">
        <v>12</v>
      </c>
      <c r="C31" t="s">
        <v>13</v>
      </c>
    </row>
    <row r="35" spans="2:5" ht="15.6" x14ac:dyDescent="0.3">
      <c r="C35" s="4" t="s">
        <v>6</v>
      </c>
      <c r="D35" s="4"/>
    </row>
    <row r="36" spans="2:5" x14ac:dyDescent="0.3">
      <c r="B36" s="5" t="s">
        <v>7</v>
      </c>
      <c r="C36" s="5"/>
      <c r="D36" s="5"/>
      <c r="E36" s="5"/>
    </row>
    <row r="37" spans="2:5" x14ac:dyDescent="0.3">
      <c r="B37" s="5"/>
      <c r="C37" s="5" t="s">
        <v>30</v>
      </c>
      <c r="D37" s="5"/>
      <c r="E37" s="5"/>
    </row>
    <row r="38" spans="2:5" x14ac:dyDescent="0.3">
      <c r="B38" t="s">
        <v>163</v>
      </c>
      <c r="C38" t="s">
        <v>175</v>
      </c>
      <c r="D38" s="6">
        <v>8</v>
      </c>
    </row>
    <row r="41" spans="2:5" ht="28.8" x14ac:dyDescent="0.3">
      <c r="B41" s="1" t="s">
        <v>0</v>
      </c>
      <c r="C41" s="2" t="s">
        <v>1</v>
      </c>
      <c r="D41" s="2" t="s">
        <v>2</v>
      </c>
      <c r="E41" s="2" t="s">
        <v>3</v>
      </c>
    </row>
    <row r="42" spans="2:5" x14ac:dyDescent="0.3">
      <c r="B42" s="3" t="s">
        <v>4</v>
      </c>
      <c r="C42" s="1">
        <v>28397.279999999999</v>
      </c>
      <c r="D42" s="1">
        <v>22287.79</v>
      </c>
      <c r="E42" s="1">
        <v>91331.05</v>
      </c>
    </row>
    <row r="43" spans="2:5" x14ac:dyDescent="0.3">
      <c r="B43" s="49" t="s">
        <v>10</v>
      </c>
      <c r="C43" s="50"/>
      <c r="D43" s="51"/>
      <c r="E43" s="1">
        <f>C42-E42</f>
        <v>-62933.770000000004</v>
      </c>
    </row>
    <row r="45" spans="2:5" ht="28.8" x14ac:dyDescent="0.3">
      <c r="B45" s="60" t="s">
        <v>37</v>
      </c>
      <c r="C45" s="51"/>
      <c r="D45" s="21" t="s">
        <v>41</v>
      </c>
      <c r="E45" s="3"/>
    </row>
    <row r="46" spans="2:5" x14ac:dyDescent="0.3">
      <c r="B46" s="60" t="s">
        <v>38</v>
      </c>
      <c r="C46" s="51"/>
      <c r="D46" s="1">
        <v>0</v>
      </c>
      <c r="E46" s="1"/>
    </row>
    <row r="47" spans="2:5" x14ac:dyDescent="0.3">
      <c r="B47" s="52"/>
      <c r="C47" s="51"/>
      <c r="D47" s="1">
        <v>0</v>
      </c>
      <c r="E47" s="1"/>
    </row>
    <row r="48" spans="2:5" x14ac:dyDescent="0.3">
      <c r="B48" s="52"/>
      <c r="C48" s="51"/>
      <c r="D48" s="1">
        <v>0</v>
      </c>
      <c r="E48" s="1"/>
    </row>
    <row r="49" spans="2:5" x14ac:dyDescent="0.3">
      <c r="B49" s="60" t="s">
        <v>40</v>
      </c>
      <c r="C49" s="51"/>
      <c r="D49" s="1">
        <v>0</v>
      </c>
      <c r="E49" s="1"/>
    </row>
    <row r="50" spans="2:5" x14ac:dyDescent="0.3">
      <c r="B50" s="52" t="s">
        <v>195</v>
      </c>
      <c r="C50" s="51"/>
      <c r="D50" s="30">
        <v>720.05</v>
      </c>
      <c r="E50" s="1"/>
    </row>
    <row r="51" spans="2:5" x14ac:dyDescent="0.3">
      <c r="B51" s="52"/>
      <c r="C51" s="51"/>
      <c r="D51" s="1">
        <v>0</v>
      </c>
      <c r="E51" s="1"/>
    </row>
    <row r="52" spans="2:5" x14ac:dyDescent="0.3">
      <c r="B52" s="61" t="s">
        <v>47</v>
      </c>
      <c r="C52" s="51"/>
      <c r="D52" s="1">
        <v>0</v>
      </c>
      <c r="E52" s="1"/>
    </row>
    <row r="53" spans="2:5" x14ac:dyDescent="0.3">
      <c r="B53" s="52" t="s">
        <v>214</v>
      </c>
      <c r="C53" s="51"/>
      <c r="D53" s="30">
        <f>43637.94+46408.82</f>
        <v>90046.760000000009</v>
      </c>
      <c r="E53" s="1"/>
    </row>
    <row r="54" spans="2:5" x14ac:dyDescent="0.3">
      <c r="B54" s="52"/>
      <c r="C54" s="51"/>
      <c r="D54" s="1"/>
      <c r="E54" s="1"/>
    </row>
    <row r="55" spans="2:5" x14ac:dyDescent="0.3">
      <c r="B55" s="52"/>
      <c r="C55" s="51"/>
      <c r="D55" s="1">
        <v>0</v>
      </c>
      <c r="E55" s="1"/>
    </row>
    <row r="56" spans="2:5" x14ac:dyDescent="0.3">
      <c r="B56" s="56" t="s">
        <v>52</v>
      </c>
      <c r="C56" s="57"/>
      <c r="D56" s="1">
        <v>0</v>
      </c>
      <c r="E56" s="1"/>
    </row>
    <row r="57" spans="2:5" ht="15.6" x14ac:dyDescent="0.3">
      <c r="B57" s="52" t="s">
        <v>53</v>
      </c>
      <c r="C57" s="51"/>
      <c r="D57" s="34">
        <v>564.24</v>
      </c>
      <c r="E57" s="1"/>
    </row>
    <row r="58" spans="2:5" x14ac:dyDescent="0.3">
      <c r="B58" s="52"/>
      <c r="C58" s="51"/>
      <c r="D58" s="1">
        <v>0</v>
      </c>
      <c r="E58" s="1"/>
    </row>
    <row r="59" spans="2:5" x14ac:dyDescent="0.3">
      <c r="B59" s="59" t="s">
        <v>42</v>
      </c>
      <c r="C59" s="51"/>
      <c r="D59" s="3">
        <f>SUM(D46:D58)</f>
        <v>91331.050000000017</v>
      </c>
      <c r="E59" s="1"/>
    </row>
    <row r="60" spans="2:5" x14ac:dyDescent="0.3">
      <c r="B60" s="14"/>
      <c r="C60" s="14"/>
      <c r="D60" s="14"/>
      <c r="E60" s="14"/>
    </row>
    <row r="61" spans="2:5" x14ac:dyDescent="0.3">
      <c r="B61" t="s">
        <v>11</v>
      </c>
    </row>
    <row r="62" spans="2:5" x14ac:dyDescent="0.3">
      <c r="B62" t="s">
        <v>12</v>
      </c>
      <c r="C62" t="s">
        <v>13</v>
      </c>
    </row>
    <row r="67" spans="2:5" ht="15.6" x14ac:dyDescent="0.3">
      <c r="C67" s="4" t="s">
        <v>6</v>
      </c>
      <c r="D67" s="4"/>
    </row>
    <row r="68" spans="2:5" x14ac:dyDescent="0.3">
      <c r="B68" s="5" t="s">
        <v>7</v>
      </c>
      <c r="C68" s="5"/>
      <c r="D68" s="5"/>
      <c r="E68" s="5"/>
    </row>
    <row r="69" spans="2:5" x14ac:dyDescent="0.3">
      <c r="B69" s="5"/>
      <c r="C69" s="5" t="s">
        <v>30</v>
      </c>
      <c r="D69" s="5"/>
      <c r="E69" s="5"/>
    </row>
    <row r="70" spans="2:5" x14ac:dyDescent="0.3">
      <c r="B70" t="s">
        <v>163</v>
      </c>
      <c r="C70" t="s">
        <v>175</v>
      </c>
      <c r="D70" s="6">
        <v>10</v>
      </c>
    </row>
    <row r="73" spans="2:5" ht="28.8" x14ac:dyDescent="0.3">
      <c r="B73" s="1" t="s">
        <v>0</v>
      </c>
      <c r="C73" s="2" t="s">
        <v>1</v>
      </c>
      <c r="D73" s="2" t="s">
        <v>2</v>
      </c>
      <c r="E73" s="2" t="s">
        <v>3</v>
      </c>
    </row>
    <row r="74" spans="2:5" x14ac:dyDescent="0.3">
      <c r="B74" s="3" t="s">
        <v>4</v>
      </c>
      <c r="C74" s="1">
        <v>19107.96</v>
      </c>
      <c r="D74" s="1">
        <v>13540.2</v>
      </c>
      <c r="E74" s="1">
        <v>753.26</v>
      </c>
    </row>
    <row r="75" spans="2:5" x14ac:dyDescent="0.3">
      <c r="B75" s="49" t="s">
        <v>10</v>
      </c>
      <c r="C75" s="50"/>
      <c r="D75" s="51"/>
      <c r="E75" s="1">
        <f>C74-E74</f>
        <v>18354.7</v>
      </c>
    </row>
    <row r="77" spans="2:5" ht="28.8" x14ac:dyDescent="0.3">
      <c r="B77" s="60" t="s">
        <v>37</v>
      </c>
      <c r="C77" s="51"/>
      <c r="D77" s="21" t="s">
        <v>41</v>
      </c>
      <c r="E77" s="3"/>
    </row>
    <row r="78" spans="2:5" x14ac:dyDescent="0.3">
      <c r="B78" s="60" t="s">
        <v>38</v>
      </c>
      <c r="C78" s="51"/>
      <c r="D78" s="1">
        <v>0</v>
      </c>
      <c r="E78" s="1"/>
    </row>
    <row r="79" spans="2:5" x14ac:dyDescent="0.3">
      <c r="B79" s="52"/>
      <c r="C79" s="51"/>
      <c r="D79" s="1">
        <v>0</v>
      </c>
      <c r="E79" s="1"/>
    </row>
    <row r="80" spans="2:5" x14ac:dyDescent="0.3">
      <c r="B80" s="52"/>
      <c r="C80" s="51"/>
      <c r="D80" s="1">
        <v>0</v>
      </c>
      <c r="E80" s="1"/>
    </row>
    <row r="81" spans="2:5" x14ac:dyDescent="0.3">
      <c r="B81" s="60" t="s">
        <v>40</v>
      </c>
      <c r="C81" s="51"/>
      <c r="D81" s="1">
        <v>0</v>
      </c>
      <c r="E81" s="1"/>
    </row>
    <row r="82" spans="2:5" ht="15.6" x14ac:dyDescent="0.3">
      <c r="B82" s="52" t="s">
        <v>195</v>
      </c>
      <c r="C82" s="51"/>
      <c r="D82" s="34">
        <v>416.38</v>
      </c>
      <c r="E82" s="1"/>
    </row>
    <row r="83" spans="2:5" x14ac:dyDescent="0.3">
      <c r="B83" s="52"/>
      <c r="C83" s="51"/>
      <c r="D83" s="1">
        <v>0</v>
      </c>
      <c r="E83" s="1"/>
    </row>
    <row r="84" spans="2:5" x14ac:dyDescent="0.3">
      <c r="B84" s="61" t="s">
        <v>47</v>
      </c>
      <c r="C84" s="51"/>
      <c r="D84" s="1">
        <v>0</v>
      </c>
      <c r="E84" s="1"/>
    </row>
    <row r="85" spans="2:5" x14ac:dyDescent="0.3">
      <c r="B85" s="52" t="s">
        <v>204</v>
      </c>
      <c r="C85" s="51"/>
      <c r="D85" s="1">
        <f>145.45+191.43</f>
        <v>336.88</v>
      </c>
      <c r="E85" s="1"/>
    </row>
    <row r="86" spans="2:5" x14ac:dyDescent="0.3">
      <c r="B86" s="52"/>
      <c r="C86" s="51"/>
      <c r="D86" s="1"/>
      <c r="E86" s="1"/>
    </row>
    <row r="87" spans="2:5" x14ac:dyDescent="0.3">
      <c r="B87" s="52"/>
      <c r="C87" s="51"/>
      <c r="D87" s="1">
        <v>0</v>
      </c>
      <c r="E87" s="1"/>
    </row>
    <row r="88" spans="2:5" x14ac:dyDescent="0.3">
      <c r="B88" s="56" t="s">
        <v>52</v>
      </c>
      <c r="C88" s="57"/>
      <c r="D88" s="1">
        <v>0</v>
      </c>
      <c r="E88" s="1"/>
    </row>
    <row r="89" spans="2:5" x14ac:dyDescent="0.3">
      <c r="B89" s="52" t="s">
        <v>53</v>
      </c>
      <c r="C89" s="51"/>
      <c r="D89" s="1"/>
      <c r="E89" s="1"/>
    </row>
    <row r="90" spans="2:5" x14ac:dyDescent="0.3">
      <c r="B90" s="52"/>
      <c r="C90" s="51"/>
      <c r="D90" s="1">
        <v>0</v>
      </c>
      <c r="E90" s="1"/>
    </row>
    <row r="91" spans="2:5" x14ac:dyDescent="0.3">
      <c r="B91" s="59" t="s">
        <v>42</v>
      </c>
      <c r="C91" s="51"/>
      <c r="D91" s="3">
        <f>SUM(D78:D90)</f>
        <v>753.26</v>
      </c>
      <c r="E91" s="1"/>
    </row>
    <row r="92" spans="2:5" x14ac:dyDescent="0.3">
      <c r="B92" s="14"/>
      <c r="C92" s="14"/>
      <c r="D92" s="14"/>
      <c r="E92" s="14"/>
    </row>
    <row r="93" spans="2:5" x14ac:dyDescent="0.3">
      <c r="B93" t="s">
        <v>11</v>
      </c>
    </row>
    <row r="94" spans="2:5" x14ac:dyDescent="0.3">
      <c r="B94" t="s">
        <v>12</v>
      </c>
      <c r="C94" t="s">
        <v>13</v>
      </c>
    </row>
    <row r="99" spans="2:5" ht="15.6" x14ac:dyDescent="0.3">
      <c r="C99" s="4" t="s">
        <v>6</v>
      </c>
      <c r="D99" s="4"/>
    </row>
    <row r="100" spans="2:5" x14ac:dyDescent="0.3">
      <c r="B100" s="5" t="s">
        <v>7</v>
      </c>
      <c r="C100" s="5"/>
      <c r="D100" s="5"/>
      <c r="E100" s="5"/>
    </row>
    <row r="101" spans="2:5" x14ac:dyDescent="0.3">
      <c r="B101" s="5"/>
      <c r="C101" s="5" t="s">
        <v>30</v>
      </c>
      <c r="D101" s="5"/>
      <c r="E101" s="5"/>
    </row>
    <row r="102" spans="2:5" x14ac:dyDescent="0.3">
      <c r="B102" t="s">
        <v>163</v>
      </c>
      <c r="C102" t="s">
        <v>175</v>
      </c>
      <c r="D102" s="6">
        <v>12</v>
      </c>
    </row>
    <row r="105" spans="2:5" ht="28.8" x14ac:dyDescent="0.3">
      <c r="B105" s="1" t="s">
        <v>0</v>
      </c>
      <c r="C105" s="2" t="s">
        <v>1</v>
      </c>
      <c r="D105" s="2" t="s">
        <v>2</v>
      </c>
      <c r="E105" s="2" t="s">
        <v>3</v>
      </c>
    </row>
    <row r="106" spans="2:5" x14ac:dyDescent="0.3">
      <c r="B106" s="3" t="s">
        <v>4</v>
      </c>
      <c r="C106" s="1">
        <v>3366.24</v>
      </c>
      <c r="D106" s="1">
        <v>2839.06</v>
      </c>
      <c r="E106" s="1">
        <v>0</v>
      </c>
    </row>
    <row r="107" spans="2:5" x14ac:dyDescent="0.3">
      <c r="B107" s="49" t="s">
        <v>10</v>
      </c>
      <c r="C107" s="50"/>
      <c r="D107" s="51"/>
      <c r="E107" s="1">
        <f>C106-E106</f>
        <v>3366.24</v>
      </c>
    </row>
    <row r="109" spans="2:5" ht="28.8" x14ac:dyDescent="0.3">
      <c r="B109" s="60" t="s">
        <v>37</v>
      </c>
      <c r="C109" s="51"/>
      <c r="D109" s="21" t="s">
        <v>41</v>
      </c>
      <c r="E109" s="3"/>
    </row>
    <row r="110" spans="2:5" x14ac:dyDescent="0.3">
      <c r="B110" s="60" t="s">
        <v>38</v>
      </c>
      <c r="C110" s="51"/>
      <c r="D110" s="1">
        <v>0</v>
      </c>
      <c r="E110" s="1"/>
    </row>
    <row r="111" spans="2:5" x14ac:dyDescent="0.3">
      <c r="B111" s="52"/>
      <c r="C111" s="51"/>
      <c r="D111" s="1">
        <v>0</v>
      </c>
      <c r="E111" s="1"/>
    </row>
    <row r="112" spans="2:5" x14ac:dyDescent="0.3">
      <c r="B112" s="52"/>
      <c r="C112" s="51"/>
      <c r="D112" s="1">
        <v>0</v>
      </c>
      <c r="E112" s="1"/>
    </row>
    <row r="113" spans="2:5" x14ac:dyDescent="0.3">
      <c r="B113" s="60" t="s">
        <v>40</v>
      </c>
      <c r="C113" s="51"/>
      <c r="D113" s="1">
        <v>0</v>
      </c>
      <c r="E113" s="1"/>
    </row>
    <row r="114" spans="2:5" x14ac:dyDescent="0.3">
      <c r="B114" s="52"/>
      <c r="C114" s="51"/>
      <c r="D114" s="1">
        <v>0</v>
      </c>
      <c r="E114" s="1"/>
    </row>
    <row r="115" spans="2:5" x14ac:dyDescent="0.3">
      <c r="B115" s="52"/>
      <c r="C115" s="51"/>
      <c r="D115" s="1">
        <v>0</v>
      </c>
      <c r="E115" s="1"/>
    </row>
    <row r="116" spans="2:5" x14ac:dyDescent="0.3">
      <c r="B116" s="61" t="s">
        <v>47</v>
      </c>
      <c r="C116" s="51"/>
      <c r="D116" s="1">
        <v>0</v>
      </c>
      <c r="E116" s="1"/>
    </row>
    <row r="117" spans="2:5" x14ac:dyDescent="0.3">
      <c r="B117" s="52"/>
      <c r="C117" s="51"/>
      <c r="D117" s="1">
        <v>0</v>
      </c>
      <c r="E117" s="1"/>
    </row>
    <row r="118" spans="2:5" x14ac:dyDescent="0.3">
      <c r="B118" s="52"/>
      <c r="C118" s="51"/>
      <c r="D118" s="1"/>
      <c r="E118" s="1"/>
    </row>
    <row r="119" spans="2:5" x14ac:dyDescent="0.3">
      <c r="B119" s="52"/>
      <c r="C119" s="51"/>
      <c r="D119" s="1">
        <v>0</v>
      </c>
      <c r="E119" s="1"/>
    </row>
    <row r="120" spans="2:5" x14ac:dyDescent="0.3">
      <c r="B120" s="56" t="s">
        <v>52</v>
      </c>
      <c r="C120" s="57"/>
      <c r="D120" s="1">
        <v>0</v>
      </c>
      <c r="E120" s="1"/>
    </row>
    <row r="121" spans="2:5" x14ac:dyDescent="0.3">
      <c r="B121" s="52" t="s">
        <v>53</v>
      </c>
      <c r="C121" s="51"/>
      <c r="D121" s="1"/>
      <c r="E121" s="1"/>
    </row>
    <row r="122" spans="2:5" x14ac:dyDescent="0.3">
      <c r="B122" s="52"/>
      <c r="C122" s="51"/>
      <c r="D122" s="1">
        <v>0</v>
      </c>
      <c r="E122" s="1"/>
    </row>
    <row r="123" spans="2:5" x14ac:dyDescent="0.3">
      <c r="B123" s="59" t="s">
        <v>42</v>
      </c>
      <c r="C123" s="51"/>
      <c r="D123" s="3">
        <f>SUM(D110:D122)</f>
        <v>0</v>
      </c>
      <c r="E123" s="1"/>
    </row>
    <row r="124" spans="2:5" x14ac:dyDescent="0.3">
      <c r="B124" s="14"/>
      <c r="C124" s="14"/>
      <c r="D124" s="14"/>
      <c r="E124" s="14"/>
    </row>
    <row r="125" spans="2:5" x14ac:dyDescent="0.3">
      <c r="B125" t="s">
        <v>11</v>
      </c>
    </row>
    <row r="126" spans="2:5" x14ac:dyDescent="0.3">
      <c r="B126" t="s">
        <v>12</v>
      </c>
      <c r="C126" t="s">
        <v>13</v>
      </c>
    </row>
    <row r="132" spans="2:5" ht="15.6" x14ac:dyDescent="0.3">
      <c r="C132" s="4" t="s">
        <v>6</v>
      </c>
      <c r="D132" s="4"/>
    </row>
    <row r="133" spans="2:5" x14ac:dyDescent="0.3">
      <c r="B133" s="5" t="s">
        <v>7</v>
      </c>
      <c r="C133" s="5"/>
      <c r="D133" s="5"/>
      <c r="E133" s="5"/>
    </row>
    <row r="134" spans="2:5" x14ac:dyDescent="0.3">
      <c r="B134" s="5"/>
      <c r="C134" s="5" t="s">
        <v>30</v>
      </c>
      <c r="D134" s="5"/>
      <c r="E134" s="5"/>
    </row>
    <row r="135" spans="2:5" x14ac:dyDescent="0.3">
      <c r="B135" t="s">
        <v>163</v>
      </c>
      <c r="C135" t="s">
        <v>175</v>
      </c>
      <c r="D135" s="6">
        <v>16</v>
      </c>
    </row>
    <row r="138" spans="2:5" ht="28.8" x14ac:dyDescent="0.3">
      <c r="B138" s="1" t="s">
        <v>0</v>
      </c>
      <c r="C138" s="2" t="s">
        <v>1</v>
      </c>
      <c r="D138" s="2" t="s">
        <v>2</v>
      </c>
      <c r="E138" s="2" t="s">
        <v>3</v>
      </c>
    </row>
    <row r="139" spans="2:5" x14ac:dyDescent="0.3">
      <c r="B139" s="3" t="s">
        <v>4</v>
      </c>
      <c r="C139" s="1">
        <v>3714.36</v>
      </c>
      <c r="D139" s="1">
        <v>3217.52</v>
      </c>
      <c r="E139" s="1">
        <v>3669.9</v>
      </c>
    </row>
    <row r="140" spans="2:5" x14ac:dyDescent="0.3">
      <c r="B140" s="49" t="s">
        <v>10</v>
      </c>
      <c r="C140" s="50"/>
      <c r="D140" s="51"/>
      <c r="E140" s="1">
        <f>C139-E139</f>
        <v>44.460000000000036</v>
      </c>
    </row>
    <row r="142" spans="2:5" ht="28.8" x14ac:dyDescent="0.3">
      <c r="B142" s="60" t="s">
        <v>37</v>
      </c>
      <c r="C142" s="51"/>
      <c r="D142" s="21" t="s">
        <v>41</v>
      </c>
      <c r="E142" s="3"/>
    </row>
    <row r="143" spans="2:5" x14ac:dyDescent="0.3">
      <c r="B143" s="60" t="s">
        <v>38</v>
      </c>
      <c r="C143" s="51"/>
      <c r="D143" s="1">
        <v>0</v>
      </c>
      <c r="E143" s="1"/>
    </row>
    <row r="144" spans="2:5" x14ac:dyDescent="0.3">
      <c r="B144" s="52"/>
      <c r="C144" s="51"/>
      <c r="D144" s="1">
        <v>0</v>
      </c>
      <c r="E144" s="1"/>
    </row>
    <row r="145" spans="2:5" x14ac:dyDescent="0.3">
      <c r="B145" s="52"/>
      <c r="C145" s="51"/>
      <c r="D145" s="1">
        <v>0</v>
      </c>
      <c r="E145" s="1"/>
    </row>
    <row r="146" spans="2:5" x14ac:dyDescent="0.3">
      <c r="B146" s="60" t="s">
        <v>40</v>
      </c>
      <c r="C146" s="51"/>
      <c r="D146" s="1">
        <v>0</v>
      </c>
      <c r="E146" s="1"/>
    </row>
    <row r="147" spans="2:5" ht="15.6" x14ac:dyDescent="0.3">
      <c r="B147" s="52" t="s">
        <v>307</v>
      </c>
      <c r="C147" s="51"/>
      <c r="D147" s="32">
        <v>1857.99</v>
      </c>
      <c r="E147" s="1"/>
    </row>
    <row r="148" spans="2:5" x14ac:dyDescent="0.3">
      <c r="B148" s="52"/>
      <c r="C148" s="51"/>
      <c r="D148" s="1">
        <v>0</v>
      </c>
      <c r="E148" s="1"/>
    </row>
    <row r="149" spans="2:5" x14ac:dyDescent="0.3">
      <c r="B149" s="61" t="s">
        <v>47</v>
      </c>
      <c r="C149" s="51"/>
      <c r="D149" s="1">
        <v>0</v>
      </c>
      <c r="E149" s="1"/>
    </row>
    <row r="150" spans="2:5" x14ac:dyDescent="0.3">
      <c r="B150" s="52" t="s">
        <v>306</v>
      </c>
      <c r="C150" s="51"/>
      <c r="D150" s="39">
        <v>1529.79</v>
      </c>
      <c r="E150" s="1"/>
    </row>
    <row r="151" spans="2:5" x14ac:dyDescent="0.3">
      <c r="B151" s="52"/>
      <c r="C151" s="51"/>
      <c r="D151" s="1"/>
      <c r="E151" s="1"/>
    </row>
    <row r="152" spans="2:5" x14ac:dyDescent="0.3">
      <c r="B152" s="52"/>
      <c r="C152" s="51"/>
      <c r="D152" s="1">
        <v>0</v>
      </c>
      <c r="E152" s="1"/>
    </row>
    <row r="153" spans="2:5" x14ac:dyDescent="0.3">
      <c r="B153" s="56" t="s">
        <v>52</v>
      </c>
      <c r="C153" s="57"/>
      <c r="D153" s="1">
        <v>0</v>
      </c>
      <c r="E153" s="1"/>
    </row>
    <row r="154" spans="2:5" ht="15.6" x14ac:dyDescent="0.3">
      <c r="B154" s="52" t="s">
        <v>53</v>
      </c>
      <c r="C154" s="51"/>
      <c r="D154" s="34">
        <v>282.12</v>
      </c>
      <c r="E154" s="1"/>
    </row>
    <row r="155" spans="2:5" x14ac:dyDescent="0.3">
      <c r="B155" s="52"/>
      <c r="C155" s="51"/>
      <c r="D155" s="1">
        <v>0</v>
      </c>
      <c r="E155" s="1"/>
    </row>
    <row r="156" spans="2:5" x14ac:dyDescent="0.3">
      <c r="B156" s="59" t="s">
        <v>42</v>
      </c>
      <c r="C156" s="51"/>
      <c r="D156" s="3">
        <f>SUM(D143:D155)</f>
        <v>3669.8999999999996</v>
      </c>
      <c r="E156" s="1"/>
    </row>
    <row r="157" spans="2:5" x14ac:dyDescent="0.3">
      <c r="B157" s="14"/>
      <c r="C157" s="14"/>
      <c r="D157" s="14"/>
      <c r="E157" s="14"/>
    </row>
    <row r="158" spans="2:5" x14ac:dyDescent="0.3">
      <c r="B158" t="s">
        <v>11</v>
      </c>
    </row>
    <row r="159" spans="2:5" x14ac:dyDescent="0.3">
      <c r="B159" t="s">
        <v>12</v>
      </c>
      <c r="C159" t="s">
        <v>13</v>
      </c>
    </row>
    <row r="164" spans="2:5" ht="15.6" x14ac:dyDescent="0.3">
      <c r="C164" s="4" t="s">
        <v>6</v>
      </c>
      <c r="D164" s="4"/>
    </row>
    <row r="165" spans="2:5" x14ac:dyDescent="0.3">
      <c r="B165" s="5" t="s">
        <v>7</v>
      </c>
      <c r="C165" s="5"/>
      <c r="D165" s="5"/>
      <c r="E165" s="5"/>
    </row>
    <row r="166" spans="2:5" x14ac:dyDescent="0.3">
      <c r="B166" s="5"/>
      <c r="C166" s="5" t="s">
        <v>30</v>
      </c>
      <c r="D166" s="5"/>
      <c r="E166" s="5"/>
    </row>
    <row r="167" spans="2:5" x14ac:dyDescent="0.3">
      <c r="B167" t="s">
        <v>163</v>
      </c>
      <c r="C167" t="s">
        <v>175</v>
      </c>
      <c r="D167" s="6">
        <v>18</v>
      </c>
    </row>
    <row r="170" spans="2:5" ht="28.8" x14ac:dyDescent="0.3">
      <c r="B170" s="1" t="s">
        <v>0</v>
      </c>
      <c r="C170" s="2" t="s">
        <v>1</v>
      </c>
      <c r="D170" s="2" t="s">
        <v>2</v>
      </c>
      <c r="E170" s="2" t="s">
        <v>3</v>
      </c>
    </row>
    <row r="171" spans="2:5" x14ac:dyDescent="0.3">
      <c r="B171" s="3" t="s">
        <v>4</v>
      </c>
      <c r="C171" s="1">
        <v>9313.92</v>
      </c>
      <c r="D171" s="1">
        <v>8321.23</v>
      </c>
      <c r="E171" s="1">
        <v>22881.360000000001</v>
      </c>
    </row>
    <row r="172" spans="2:5" x14ac:dyDescent="0.3">
      <c r="B172" s="49" t="s">
        <v>10</v>
      </c>
      <c r="C172" s="50"/>
      <c r="D172" s="51"/>
      <c r="E172" s="1">
        <f>C171-E171</f>
        <v>-13567.44</v>
      </c>
    </row>
    <row r="174" spans="2:5" ht="28.8" x14ac:dyDescent="0.3">
      <c r="B174" s="60" t="s">
        <v>37</v>
      </c>
      <c r="C174" s="51"/>
      <c r="D174" s="21" t="s">
        <v>41</v>
      </c>
      <c r="E174" s="3"/>
    </row>
    <row r="175" spans="2:5" x14ac:dyDescent="0.3">
      <c r="B175" s="60" t="s">
        <v>38</v>
      </c>
      <c r="C175" s="51"/>
      <c r="D175" s="1">
        <v>0</v>
      </c>
      <c r="E175" s="1"/>
    </row>
    <row r="176" spans="2:5" x14ac:dyDescent="0.3">
      <c r="B176" s="52"/>
      <c r="C176" s="51"/>
      <c r="D176" s="1">
        <v>0</v>
      </c>
      <c r="E176" s="1"/>
    </row>
    <row r="177" spans="2:5" x14ac:dyDescent="0.3">
      <c r="B177" s="52"/>
      <c r="C177" s="51"/>
      <c r="D177" s="1">
        <v>0</v>
      </c>
      <c r="E177" s="1"/>
    </row>
    <row r="178" spans="2:5" x14ac:dyDescent="0.3">
      <c r="B178" s="60" t="s">
        <v>40</v>
      </c>
      <c r="C178" s="51"/>
      <c r="D178" s="1">
        <v>0</v>
      </c>
      <c r="E178" s="1"/>
    </row>
    <row r="179" spans="2:5" x14ac:dyDescent="0.3">
      <c r="B179" s="52" t="s">
        <v>308</v>
      </c>
      <c r="C179" s="51"/>
      <c r="D179" s="39">
        <v>22881.360000000001</v>
      </c>
      <c r="E179" s="1"/>
    </row>
    <row r="180" spans="2:5" x14ac:dyDescent="0.3">
      <c r="B180" s="52"/>
      <c r="C180" s="51"/>
      <c r="D180" s="1">
        <v>0</v>
      </c>
      <c r="E180" s="1"/>
    </row>
    <row r="181" spans="2:5" x14ac:dyDescent="0.3">
      <c r="B181" s="61" t="s">
        <v>47</v>
      </c>
      <c r="C181" s="51"/>
      <c r="D181" s="1">
        <v>0</v>
      </c>
      <c r="E181" s="1"/>
    </row>
    <row r="182" spans="2:5" x14ac:dyDescent="0.3">
      <c r="B182" s="52"/>
      <c r="C182" s="51"/>
      <c r="D182" s="1">
        <v>0</v>
      </c>
      <c r="E182" s="1"/>
    </row>
    <row r="183" spans="2:5" x14ac:dyDescent="0.3">
      <c r="B183" s="52"/>
      <c r="C183" s="51"/>
      <c r="D183" s="1"/>
      <c r="E183" s="1"/>
    </row>
    <row r="184" spans="2:5" x14ac:dyDescent="0.3">
      <c r="B184" s="52"/>
      <c r="C184" s="51"/>
      <c r="D184" s="1">
        <v>0</v>
      </c>
      <c r="E184" s="1"/>
    </row>
    <row r="185" spans="2:5" x14ac:dyDescent="0.3">
      <c r="B185" s="56" t="s">
        <v>52</v>
      </c>
      <c r="C185" s="57"/>
      <c r="D185" s="1">
        <v>0</v>
      </c>
      <c r="E185" s="1"/>
    </row>
    <row r="186" spans="2:5" x14ac:dyDescent="0.3">
      <c r="B186" s="52" t="s">
        <v>53</v>
      </c>
      <c r="C186" s="51"/>
      <c r="D186" s="1"/>
      <c r="E186" s="1"/>
    </row>
    <row r="187" spans="2:5" x14ac:dyDescent="0.3">
      <c r="B187" s="52"/>
      <c r="C187" s="51"/>
      <c r="D187" s="1">
        <v>0</v>
      </c>
      <c r="E187" s="1"/>
    </row>
    <row r="188" spans="2:5" x14ac:dyDescent="0.3">
      <c r="B188" s="59" t="s">
        <v>42</v>
      </c>
      <c r="C188" s="51"/>
      <c r="D188" s="3">
        <f>SUM(D175:D187)</f>
        <v>22881.360000000001</v>
      </c>
      <c r="E188" s="1"/>
    </row>
    <row r="189" spans="2:5" x14ac:dyDescent="0.3">
      <c r="B189" s="14"/>
      <c r="C189" s="14"/>
      <c r="D189" s="14"/>
      <c r="E189" s="14"/>
    </row>
    <row r="190" spans="2:5" x14ac:dyDescent="0.3">
      <c r="B190" t="s">
        <v>11</v>
      </c>
    </row>
    <row r="191" spans="2:5" x14ac:dyDescent="0.3">
      <c r="B191" t="s">
        <v>12</v>
      </c>
      <c r="C191" t="s">
        <v>13</v>
      </c>
    </row>
    <row r="197" spans="2:5" ht="15.6" x14ac:dyDescent="0.3">
      <c r="C197" s="4" t="s">
        <v>6</v>
      </c>
      <c r="D197" s="4"/>
    </row>
    <row r="198" spans="2:5" x14ac:dyDescent="0.3">
      <c r="B198" s="5" t="s">
        <v>7</v>
      </c>
      <c r="C198" s="5"/>
      <c r="D198" s="5"/>
      <c r="E198" s="5"/>
    </row>
    <row r="199" spans="2:5" x14ac:dyDescent="0.3">
      <c r="B199" s="5"/>
      <c r="C199" s="5" t="s">
        <v>30</v>
      </c>
      <c r="D199" s="5"/>
      <c r="E199" s="5"/>
    </row>
    <row r="200" spans="2:5" x14ac:dyDescent="0.3">
      <c r="B200" t="s">
        <v>163</v>
      </c>
      <c r="C200" t="s">
        <v>175</v>
      </c>
      <c r="D200" s="6">
        <v>20</v>
      </c>
    </row>
    <row r="203" spans="2:5" ht="28.8" x14ac:dyDescent="0.3">
      <c r="B203" s="1" t="s">
        <v>0</v>
      </c>
      <c r="C203" s="2" t="s">
        <v>1</v>
      </c>
      <c r="D203" s="2" t="s">
        <v>2</v>
      </c>
      <c r="E203" s="2" t="s">
        <v>3</v>
      </c>
    </row>
    <row r="204" spans="2:5" x14ac:dyDescent="0.3">
      <c r="B204" s="3" t="s">
        <v>4</v>
      </c>
      <c r="C204" s="1">
        <v>17254.8</v>
      </c>
      <c r="D204" s="1">
        <v>14942.08</v>
      </c>
      <c r="E204" s="1">
        <v>26463.84</v>
      </c>
    </row>
    <row r="205" spans="2:5" x14ac:dyDescent="0.3">
      <c r="B205" s="49" t="s">
        <v>10</v>
      </c>
      <c r="C205" s="50"/>
      <c r="D205" s="51"/>
      <c r="E205" s="1">
        <f>C204-E204</f>
        <v>-9209.0400000000009</v>
      </c>
    </row>
    <row r="207" spans="2:5" ht="28.8" x14ac:dyDescent="0.3">
      <c r="B207" s="60" t="s">
        <v>37</v>
      </c>
      <c r="C207" s="51"/>
      <c r="D207" s="21" t="s">
        <v>41</v>
      </c>
      <c r="E207" s="3"/>
    </row>
    <row r="208" spans="2:5" x14ac:dyDescent="0.3">
      <c r="B208" s="60" t="s">
        <v>38</v>
      </c>
      <c r="C208" s="51"/>
      <c r="D208" s="1">
        <v>0</v>
      </c>
      <c r="E208" s="1"/>
    </row>
    <row r="209" spans="2:5" x14ac:dyDescent="0.3">
      <c r="B209" s="52"/>
      <c r="C209" s="51"/>
      <c r="D209" s="1">
        <v>0</v>
      </c>
      <c r="E209" s="1"/>
    </row>
    <row r="210" spans="2:5" x14ac:dyDescent="0.3">
      <c r="B210" s="52"/>
      <c r="C210" s="51"/>
      <c r="D210" s="1">
        <v>0</v>
      </c>
      <c r="E210" s="1"/>
    </row>
    <row r="211" spans="2:5" x14ac:dyDescent="0.3">
      <c r="B211" s="60" t="s">
        <v>40</v>
      </c>
      <c r="C211" s="51"/>
      <c r="D211" s="1">
        <v>0</v>
      </c>
      <c r="E211" s="1"/>
    </row>
    <row r="212" spans="2:5" x14ac:dyDescent="0.3">
      <c r="B212" s="52" t="s">
        <v>113</v>
      </c>
      <c r="C212" s="51"/>
      <c r="D212" s="27">
        <v>26275.759999999998</v>
      </c>
      <c r="E212" s="1"/>
    </row>
    <row r="213" spans="2:5" x14ac:dyDescent="0.3">
      <c r="B213" s="52"/>
      <c r="C213" s="51"/>
      <c r="D213" s="1">
        <v>0</v>
      </c>
      <c r="E213" s="1"/>
    </row>
    <row r="214" spans="2:5" x14ac:dyDescent="0.3">
      <c r="B214" s="61" t="s">
        <v>47</v>
      </c>
      <c r="C214" s="51"/>
      <c r="D214" s="1">
        <v>0</v>
      </c>
      <c r="E214" s="1"/>
    </row>
    <row r="215" spans="2:5" x14ac:dyDescent="0.3">
      <c r="B215" s="52"/>
      <c r="C215" s="51"/>
      <c r="D215" s="1">
        <v>0</v>
      </c>
      <c r="E215" s="1"/>
    </row>
    <row r="216" spans="2:5" x14ac:dyDescent="0.3">
      <c r="B216" s="52"/>
      <c r="C216" s="51"/>
      <c r="D216" s="1"/>
      <c r="E216" s="1"/>
    </row>
    <row r="217" spans="2:5" x14ac:dyDescent="0.3">
      <c r="B217" s="52"/>
      <c r="C217" s="51"/>
      <c r="D217" s="1">
        <v>0</v>
      </c>
      <c r="E217" s="1"/>
    </row>
    <row r="218" spans="2:5" x14ac:dyDescent="0.3">
      <c r="B218" s="56" t="s">
        <v>52</v>
      </c>
      <c r="C218" s="57"/>
      <c r="D218" s="1">
        <v>0</v>
      </c>
      <c r="E218" s="1"/>
    </row>
    <row r="219" spans="2:5" ht="15.6" x14ac:dyDescent="0.3">
      <c r="B219" s="52" t="s">
        <v>53</v>
      </c>
      <c r="C219" s="51"/>
      <c r="D219" s="34">
        <v>188.08</v>
      </c>
      <c r="E219" s="1"/>
    </row>
    <row r="220" spans="2:5" x14ac:dyDescent="0.3">
      <c r="B220" s="52"/>
      <c r="C220" s="51"/>
      <c r="D220" s="1">
        <v>0</v>
      </c>
      <c r="E220" s="1"/>
    </row>
    <row r="221" spans="2:5" x14ac:dyDescent="0.3">
      <c r="B221" s="59" t="s">
        <v>42</v>
      </c>
      <c r="C221" s="51"/>
      <c r="D221" s="3">
        <f>SUM(D208:D220)</f>
        <v>26463.84</v>
      </c>
      <c r="E221" s="1"/>
    </row>
    <row r="222" spans="2:5" x14ac:dyDescent="0.3">
      <c r="B222" s="14"/>
      <c r="C222" s="14"/>
      <c r="D222" s="14"/>
      <c r="E222" s="14"/>
    </row>
    <row r="223" spans="2:5" x14ac:dyDescent="0.3">
      <c r="B223" t="s">
        <v>11</v>
      </c>
    </row>
    <row r="224" spans="2:5" x14ac:dyDescent="0.3">
      <c r="B224" t="s">
        <v>12</v>
      </c>
      <c r="C224" t="s">
        <v>13</v>
      </c>
    </row>
    <row r="230" spans="2:5" ht="15.6" x14ac:dyDescent="0.3">
      <c r="C230" s="4" t="s">
        <v>6</v>
      </c>
      <c r="D230" s="4"/>
    </row>
    <row r="231" spans="2:5" x14ac:dyDescent="0.3">
      <c r="B231" s="5" t="s">
        <v>7</v>
      </c>
      <c r="C231" s="5"/>
      <c r="D231" s="5"/>
      <c r="E231" s="5"/>
    </row>
    <row r="232" spans="2:5" x14ac:dyDescent="0.3">
      <c r="B232" s="5"/>
      <c r="C232" s="5" t="s">
        <v>30</v>
      </c>
      <c r="D232" s="5"/>
      <c r="E232" s="5"/>
    </row>
    <row r="233" spans="2:5" x14ac:dyDescent="0.3">
      <c r="B233" t="s">
        <v>163</v>
      </c>
      <c r="C233" t="s">
        <v>175</v>
      </c>
      <c r="D233" s="6">
        <v>22</v>
      </c>
    </row>
    <row r="236" spans="2:5" ht="28.8" x14ac:dyDescent="0.3">
      <c r="B236" s="1" t="s">
        <v>0</v>
      </c>
      <c r="C236" s="2" t="s">
        <v>1</v>
      </c>
      <c r="D236" s="2" t="s">
        <v>2</v>
      </c>
      <c r="E236" s="2" t="s">
        <v>3</v>
      </c>
    </row>
    <row r="237" spans="2:5" x14ac:dyDescent="0.3">
      <c r="B237" s="3" t="s">
        <v>4</v>
      </c>
      <c r="C237" s="1">
        <f>50415.72+33706.15</f>
        <v>84121.87</v>
      </c>
      <c r="D237" s="1">
        <f>43894.77+33706.15</f>
        <v>77600.92</v>
      </c>
      <c r="E237" s="1">
        <v>34504.28</v>
      </c>
    </row>
    <row r="238" spans="2:5" x14ac:dyDescent="0.3">
      <c r="B238" s="49" t="s">
        <v>10</v>
      </c>
      <c r="C238" s="50"/>
      <c r="D238" s="51"/>
      <c r="E238" s="1">
        <f>C237-E237</f>
        <v>49617.59</v>
      </c>
    </row>
    <row r="240" spans="2:5" ht="28.8" x14ac:dyDescent="0.3">
      <c r="B240" s="60" t="s">
        <v>37</v>
      </c>
      <c r="C240" s="51"/>
      <c r="D240" s="21" t="s">
        <v>41</v>
      </c>
      <c r="E240" s="3"/>
    </row>
    <row r="241" spans="2:5" x14ac:dyDescent="0.3">
      <c r="B241" s="60" t="s">
        <v>38</v>
      </c>
      <c r="C241" s="51"/>
      <c r="D241" s="1">
        <v>0</v>
      </c>
      <c r="E241" s="1"/>
    </row>
    <row r="242" spans="2:5" x14ac:dyDescent="0.3">
      <c r="B242" s="52"/>
      <c r="C242" s="51"/>
      <c r="D242" s="1">
        <v>0</v>
      </c>
      <c r="E242" s="1"/>
    </row>
    <row r="243" spans="2:5" x14ac:dyDescent="0.3">
      <c r="B243" s="52"/>
      <c r="C243" s="51"/>
      <c r="D243" s="1">
        <v>0</v>
      </c>
      <c r="E243" s="1"/>
    </row>
    <row r="244" spans="2:5" x14ac:dyDescent="0.3">
      <c r="B244" s="60" t="s">
        <v>40</v>
      </c>
      <c r="C244" s="51"/>
      <c r="D244" s="1">
        <v>0</v>
      </c>
      <c r="E244" s="1"/>
    </row>
    <row r="245" spans="2:5" ht="15.6" x14ac:dyDescent="0.3">
      <c r="B245" s="52" t="s">
        <v>309</v>
      </c>
      <c r="C245" s="51"/>
      <c r="D245" s="32">
        <v>31015.200000000001</v>
      </c>
      <c r="E245" s="1"/>
    </row>
    <row r="246" spans="2:5" x14ac:dyDescent="0.3">
      <c r="B246" s="52"/>
      <c r="C246" s="51"/>
      <c r="D246" s="1">
        <v>0</v>
      </c>
      <c r="E246" s="1"/>
    </row>
    <row r="247" spans="2:5" x14ac:dyDescent="0.3">
      <c r="B247" s="61" t="s">
        <v>47</v>
      </c>
      <c r="C247" s="51"/>
      <c r="D247" s="1">
        <v>0</v>
      </c>
      <c r="E247" s="1"/>
    </row>
    <row r="248" spans="2:5" x14ac:dyDescent="0.3">
      <c r="B248" s="52"/>
      <c r="C248" s="51"/>
      <c r="D248" s="1">
        <v>0</v>
      </c>
      <c r="E248" s="1"/>
    </row>
    <row r="249" spans="2:5" x14ac:dyDescent="0.3">
      <c r="B249" s="52"/>
      <c r="C249" s="51"/>
      <c r="D249" s="1"/>
      <c r="E249" s="1"/>
    </row>
    <row r="250" spans="2:5" x14ac:dyDescent="0.3">
      <c r="B250" s="52"/>
      <c r="C250" s="51"/>
      <c r="D250" s="1">
        <v>0</v>
      </c>
      <c r="E250" s="1"/>
    </row>
    <row r="251" spans="2:5" x14ac:dyDescent="0.3">
      <c r="B251" s="56" t="s">
        <v>52</v>
      </c>
      <c r="C251" s="57"/>
      <c r="D251" s="1">
        <v>0</v>
      </c>
      <c r="E251" s="1"/>
    </row>
    <row r="252" spans="2:5" ht="15.6" x14ac:dyDescent="0.3">
      <c r="B252" s="52" t="s">
        <v>53</v>
      </c>
      <c r="C252" s="51"/>
      <c r="D252" s="34">
        <v>3489.08</v>
      </c>
      <c r="E252" s="1"/>
    </row>
    <row r="253" spans="2:5" x14ac:dyDescent="0.3">
      <c r="B253" s="52"/>
      <c r="C253" s="51"/>
      <c r="D253" s="1">
        <v>0</v>
      </c>
      <c r="E253" s="1"/>
    </row>
    <row r="254" spans="2:5" x14ac:dyDescent="0.3">
      <c r="B254" s="59" t="s">
        <v>42</v>
      </c>
      <c r="C254" s="51"/>
      <c r="D254" s="3">
        <f>SUM(D241:D253)</f>
        <v>34504.28</v>
      </c>
      <c r="E254" s="1"/>
    </row>
    <row r="255" spans="2:5" x14ac:dyDescent="0.3">
      <c r="B255" s="14"/>
      <c r="C255" s="14"/>
      <c r="D255" s="14"/>
      <c r="E255" s="14"/>
    </row>
    <row r="256" spans="2:5" x14ac:dyDescent="0.3">
      <c r="B256" t="s">
        <v>11</v>
      </c>
    </row>
    <row r="257" spans="2:3" x14ac:dyDescent="0.3">
      <c r="B257" t="s">
        <v>12</v>
      </c>
      <c r="C257" t="s">
        <v>13</v>
      </c>
    </row>
  </sheetData>
  <mergeCells count="128">
    <mergeCell ref="B12:D12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43:D43"/>
    <mergeCell ref="B45:C45"/>
    <mergeCell ref="B19:C19"/>
    <mergeCell ref="B20:C20"/>
    <mergeCell ref="B21:C21"/>
    <mergeCell ref="B22:C22"/>
    <mergeCell ref="B23:C23"/>
    <mergeCell ref="B24:C24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80:C80"/>
    <mergeCell ref="B81:C81"/>
    <mergeCell ref="B82:C82"/>
    <mergeCell ref="B83:C83"/>
    <mergeCell ref="B84:C84"/>
    <mergeCell ref="B85:C85"/>
    <mergeCell ref="B58:C58"/>
    <mergeCell ref="B59:C59"/>
    <mergeCell ref="B75:D75"/>
    <mergeCell ref="B77:C77"/>
    <mergeCell ref="B78:C78"/>
    <mergeCell ref="B79:C79"/>
    <mergeCell ref="B107:D107"/>
    <mergeCell ref="B109:C109"/>
    <mergeCell ref="B110:C110"/>
    <mergeCell ref="B111:C111"/>
    <mergeCell ref="B112:C112"/>
    <mergeCell ref="B113:C113"/>
    <mergeCell ref="B86:C86"/>
    <mergeCell ref="B87:C87"/>
    <mergeCell ref="B88:C88"/>
    <mergeCell ref="B89:C89"/>
    <mergeCell ref="B90:C90"/>
    <mergeCell ref="B91:C91"/>
    <mergeCell ref="B120:C120"/>
    <mergeCell ref="B121:C121"/>
    <mergeCell ref="B122:C122"/>
    <mergeCell ref="B123:C123"/>
    <mergeCell ref="B140:D140"/>
    <mergeCell ref="B142:C142"/>
    <mergeCell ref="B114:C114"/>
    <mergeCell ref="B115:C115"/>
    <mergeCell ref="B116:C116"/>
    <mergeCell ref="B117:C117"/>
    <mergeCell ref="B118:C118"/>
    <mergeCell ref="B119:C119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77:C177"/>
    <mergeCell ref="B178:C178"/>
    <mergeCell ref="B179:C179"/>
    <mergeCell ref="B180:C180"/>
    <mergeCell ref="B181:C181"/>
    <mergeCell ref="B182:C182"/>
    <mergeCell ref="B155:C155"/>
    <mergeCell ref="B156:C156"/>
    <mergeCell ref="B172:D172"/>
    <mergeCell ref="B174:C174"/>
    <mergeCell ref="B175:C175"/>
    <mergeCell ref="B176:C176"/>
    <mergeCell ref="B205:D205"/>
    <mergeCell ref="B207:C207"/>
    <mergeCell ref="B208:C208"/>
    <mergeCell ref="B209:C209"/>
    <mergeCell ref="B210:C210"/>
    <mergeCell ref="B211:C211"/>
    <mergeCell ref="B183:C183"/>
    <mergeCell ref="B184:C184"/>
    <mergeCell ref="B185:C185"/>
    <mergeCell ref="B186:C186"/>
    <mergeCell ref="B187:C187"/>
    <mergeCell ref="B188:C188"/>
    <mergeCell ref="B218:C218"/>
    <mergeCell ref="B219:C219"/>
    <mergeCell ref="B220:C220"/>
    <mergeCell ref="B221:C221"/>
    <mergeCell ref="B238:D238"/>
    <mergeCell ref="B240:C240"/>
    <mergeCell ref="B212:C212"/>
    <mergeCell ref="B213:C213"/>
    <mergeCell ref="B214:C214"/>
    <mergeCell ref="B215:C215"/>
    <mergeCell ref="B216:C216"/>
    <mergeCell ref="B217:C217"/>
    <mergeCell ref="B253:C253"/>
    <mergeCell ref="B254:C254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95"/>
  <sheetViews>
    <sheetView topLeftCell="A229" workbookViewId="0">
      <selection activeCell="B210" sqref="B210:E245"/>
    </sheetView>
  </sheetViews>
  <sheetFormatPr defaultRowHeight="14.4" x14ac:dyDescent="0.3"/>
  <cols>
    <col min="2" max="2" width="34.6640625" customWidth="1"/>
    <col min="3" max="3" width="16.44140625" customWidth="1"/>
    <col min="4" max="4" width="11.21875" customWidth="1"/>
    <col min="5" max="5" width="10.88671875" customWidth="1"/>
  </cols>
  <sheetData>
    <row r="3" spans="2:5" ht="15.6" x14ac:dyDescent="0.3">
      <c r="C3" s="4" t="s">
        <v>6</v>
      </c>
      <c r="D3" s="4"/>
    </row>
    <row r="4" spans="2:5" x14ac:dyDescent="0.3">
      <c r="B4" s="5" t="s">
        <v>7</v>
      </c>
      <c r="C4" s="5"/>
      <c r="D4" s="5"/>
      <c r="E4" s="5"/>
    </row>
    <row r="5" spans="2:5" x14ac:dyDescent="0.3">
      <c r="B5" s="5"/>
      <c r="C5" s="5" t="s">
        <v>30</v>
      </c>
      <c r="D5" s="5"/>
      <c r="E5" s="5"/>
    </row>
    <row r="6" spans="2:5" x14ac:dyDescent="0.3">
      <c r="B6" t="s">
        <v>163</v>
      </c>
      <c r="C6" t="s">
        <v>176</v>
      </c>
      <c r="D6" s="6">
        <v>1</v>
      </c>
    </row>
    <row r="9" spans="2:5" ht="28.8" x14ac:dyDescent="0.3">
      <c r="B9" s="1" t="s">
        <v>0</v>
      </c>
      <c r="C9" s="2" t="s">
        <v>1</v>
      </c>
      <c r="D9" s="2" t="s">
        <v>2</v>
      </c>
      <c r="E9" s="2" t="s">
        <v>3</v>
      </c>
    </row>
    <row r="10" spans="2:5" x14ac:dyDescent="0.3">
      <c r="B10" s="3" t="s">
        <v>4</v>
      </c>
      <c r="C10" s="1">
        <v>67506.84</v>
      </c>
      <c r="D10" s="1">
        <v>56976.54</v>
      </c>
      <c r="E10" s="1">
        <v>59161.47</v>
      </c>
    </row>
    <row r="11" spans="2:5" x14ac:dyDescent="0.3">
      <c r="B11" s="49" t="s">
        <v>10</v>
      </c>
      <c r="C11" s="50"/>
      <c r="D11" s="51"/>
      <c r="E11" s="1">
        <f>C10-E10</f>
        <v>8345.3699999999953</v>
      </c>
    </row>
    <row r="13" spans="2:5" ht="28.8" x14ac:dyDescent="0.3">
      <c r="B13" s="60" t="s">
        <v>37</v>
      </c>
      <c r="C13" s="51"/>
      <c r="D13" s="21" t="s">
        <v>41</v>
      </c>
      <c r="E13" s="3"/>
    </row>
    <row r="14" spans="2:5" x14ac:dyDescent="0.3">
      <c r="B14" s="60" t="s">
        <v>38</v>
      </c>
      <c r="C14" s="51"/>
      <c r="D14" s="1">
        <v>0</v>
      </c>
      <c r="E14" s="1"/>
    </row>
    <row r="15" spans="2:5" x14ac:dyDescent="0.3">
      <c r="B15" s="52"/>
      <c r="C15" s="51"/>
      <c r="D15" s="1">
        <v>0</v>
      </c>
      <c r="E15" s="1"/>
    </row>
    <row r="16" spans="2:5" x14ac:dyDescent="0.3">
      <c r="B16" s="52"/>
      <c r="C16" s="51"/>
      <c r="D16" s="1">
        <v>0</v>
      </c>
      <c r="E16" s="1"/>
    </row>
    <row r="17" spans="2:5" x14ac:dyDescent="0.3">
      <c r="B17" s="60" t="s">
        <v>40</v>
      </c>
      <c r="C17" s="51"/>
      <c r="D17" s="1">
        <v>0</v>
      </c>
      <c r="E17" s="1"/>
    </row>
    <row r="18" spans="2:5" x14ac:dyDescent="0.3">
      <c r="B18" s="52" t="s">
        <v>310</v>
      </c>
      <c r="C18" s="51"/>
      <c r="D18" s="27">
        <v>42500</v>
      </c>
      <c r="E18" s="1"/>
    </row>
    <row r="19" spans="2:5" ht="15.6" x14ac:dyDescent="0.3">
      <c r="B19" s="52" t="s">
        <v>63</v>
      </c>
      <c r="C19" s="51"/>
      <c r="D19" s="35">
        <v>6649.33</v>
      </c>
      <c r="E19" s="1"/>
    </row>
    <row r="20" spans="2:5" x14ac:dyDescent="0.3">
      <c r="B20" s="61" t="s">
        <v>47</v>
      </c>
      <c r="C20" s="51"/>
      <c r="D20" s="1">
        <v>0</v>
      </c>
      <c r="E20" s="1"/>
    </row>
    <row r="21" spans="2:5" ht="15.6" x14ac:dyDescent="0.3">
      <c r="B21" s="52" t="s">
        <v>204</v>
      </c>
      <c r="C21" s="51"/>
      <c r="D21" s="34">
        <f>140.61+143.03+145.45+145.45</f>
        <v>574.54</v>
      </c>
      <c r="E21" s="1"/>
    </row>
    <row r="22" spans="2:5" x14ac:dyDescent="0.3">
      <c r="B22" s="52"/>
      <c r="C22" s="51"/>
      <c r="D22" s="1"/>
      <c r="E22" s="1"/>
    </row>
    <row r="23" spans="2:5" x14ac:dyDescent="0.3">
      <c r="B23" s="52"/>
      <c r="C23" s="51"/>
      <c r="D23" s="1">
        <v>0</v>
      </c>
      <c r="E23" s="1"/>
    </row>
    <row r="24" spans="2:5" x14ac:dyDescent="0.3">
      <c r="B24" s="56" t="s">
        <v>52</v>
      </c>
      <c r="C24" s="57"/>
      <c r="D24" s="1">
        <v>0</v>
      </c>
      <c r="E24" s="1"/>
    </row>
    <row r="25" spans="2:5" x14ac:dyDescent="0.3">
      <c r="B25" s="52" t="s">
        <v>53</v>
      </c>
      <c r="C25" s="51"/>
      <c r="D25" s="1">
        <f>4716.4+4721.2</f>
        <v>9437.5999999999985</v>
      </c>
      <c r="E25" s="1"/>
    </row>
    <row r="26" spans="2:5" x14ac:dyDescent="0.3">
      <c r="B26" s="52"/>
      <c r="C26" s="51"/>
      <c r="D26" s="1">
        <v>0</v>
      </c>
      <c r="E26" s="1"/>
    </row>
    <row r="27" spans="2:5" x14ac:dyDescent="0.3">
      <c r="B27" s="59" t="s">
        <v>42</v>
      </c>
      <c r="C27" s="51"/>
      <c r="D27" s="3">
        <f>SUM(D14:D26)</f>
        <v>59161.47</v>
      </c>
      <c r="E27" s="1"/>
    </row>
    <row r="28" spans="2:5" x14ac:dyDescent="0.3">
      <c r="B28" s="14"/>
      <c r="C28" s="14"/>
      <c r="D28" s="14"/>
      <c r="E28" s="14"/>
    </row>
    <row r="29" spans="2:5" x14ac:dyDescent="0.3">
      <c r="B29" t="s">
        <v>11</v>
      </c>
    </row>
    <row r="30" spans="2:5" x14ac:dyDescent="0.3">
      <c r="B30" t="s">
        <v>12</v>
      </c>
      <c r="C30" t="s">
        <v>13</v>
      </c>
    </row>
    <row r="35" spans="2:5" ht="15.6" x14ac:dyDescent="0.3">
      <c r="C35" s="4" t="s">
        <v>6</v>
      </c>
      <c r="D35" s="4"/>
    </row>
    <row r="36" spans="2:5" x14ac:dyDescent="0.3">
      <c r="B36" s="5" t="s">
        <v>7</v>
      </c>
      <c r="C36" s="5"/>
      <c r="D36" s="5"/>
      <c r="E36" s="5"/>
    </row>
    <row r="37" spans="2:5" x14ac:dyDescent="0.3">
      <c r="B37" s="5"/>
      <c r="C37" s="5" t="s">
        <v>30</v>
      </c>
      <c r="D37" s="5"/>
      <c r="E37" s="5"/>
    </row>
    <row r="38" spans="2:5" x14ac:dyDescent="0.3">
      <c r="B38" t="s">
        <v>163</v>
      </c>
      <c r="C38" t="s">
        <v>176</v>
      </c>
      <c r="D38" s="6">
        <v>2</v>
      </c>
    </row>
    <row r="41" spans="2:5" ht="28.8" x14ac:dyDescent="0.3">
      <c r="B41" s="1" t="s">
        <v>0</v>
      </c>
      <c r="C41" s="2" t="s">
        <v>1</v>
      </c>
      <c r="D41" s="2" t="s">
        <v>2</v>
      </c>
      <c r="E41" s="2" t="s">
        <v>3</v>
      </c>
    </row>
    <row r="42" spans="2:5" x14ac:dyDescent="0.3">
      <c r="B42" s="3" t="s">
        <v>4</v>
      </c>
      <c r="C42" s="1">
        <f>94519.2+5294.16</f>
        <v>99813.36</v>
      </c>
      <c r="D42" s="1">
        <f>77651.84+5294.16</f>
        <v>82946</v>
      </c>
      <c r="E42" s="1">
        <v>44282.94</v>
      </c>
    </row>
    <row r="43" spans="2:5" x14ac:dyDescent="0.3">
      <c r="B43" s="49" t="s">
        <v>10</v>
      </c>
      <c r="C43" s="50"/>
      <c r="D43" s="51"/>
      <c r="E43" s="1">
        <f>C42-E42</f>
        <v>55530.42</v>
      </c>
    </row>
    <row r="45" spans="2:5" ht="28.8" x14ac:dyDescent="0.3">
      <c r="B45" s="60" t="s">
        <v>37</v>
      </c>
      <c r="C45" s="51"/>
      <c r="D45" s="21" t="s">
        <v>41</v>
      </c>
      <c r="E45" s="3"/>
    </row>
    <row r="46" spans="2:5" x14ac:dyDescent="0.3">
      <c r="B46" s="60" t="s">
        <v>38</v>
      </c>
      <c r="C46" s="51"/>
      <c r="D46" s="1">
        <v>0</v>
      </c>
      <c r="E46" s="1"/>
    </row>
    <row r="47" spans="2:5" ht="15.6" x14ac:dyDescent="0.3">
      <c r="B47" s="52" t="s">
        <v>218</v>
      </c>
      <c r="C47" s="51"/>
      <c r="D47" s="31">
        <f>2809.81+4214.72</f>
        <v>7024.5300000000007</v>
      </c>
      <c r="E47" s="1"/>
    </row>
    <row r="48" spans="2:5" ht="32.4" customHeight="1" x14ac:dyDescent="0.3">
      <c r="B48" s="52" t="s">
        <v>314</v>
      </c>
      <c r="C48" s="51"/>
      <c r="D48" s="32">
        <v>19061.09</v>
      </c>
      <c r="E48" s="1"/>
    </row>
    <row r="49" spans="2:5" ht="15" customHeight="1" x14ac:dyDescent="0.3">
      <c r="B49" s="60" t="s">
        <v>40</v>
      </c>
      <c r="C49" s="51"/>
      <c r="D49" s="1">
        <v>0</v>
      </c>
      <c r="E49" s="1"/>
    </row>
    <row r="50" spans="2:5" ht="15.6" x14ac:dyDescent="0.3">
      <c r="B50" s="52" t="s">
        <v>313</v>
      </c>
      <c r="C50" s="51"/>
      <c r="D50" s="31">
        <f>4191.65+648.44</f>
        <v>4840.09</v>
      </c>
      <c r="E50" s="1"/>
    </row>
    <row r="51" spans="2:5" ht="15.6" x14ac:dyDescent="0.3">
      <c r="B51" s="52" t="s">
        <v>312</v>
      </c>
      <c r="C51" s="51"/>
      <c r="D51" s="35">
        <v>3369.72</v>
      </c>
      <c r="E51" s="1"/>
    </row>
    <row r="52" spans="2:5" x14ac:dyDescent="0.3">
      <c r="B52" s="61" t="s">
        <v>47</v>
      </c>
      <c r="C52" s="51"/>
      <c r="D52" s="1">
        <v>0</v>
      </c>
      <c r="E52" s="1"/>
    </row>
    <row r="53" spans="2:5" ht="15.6" x14ac:dyDescent="0.3">
      <c r="B53" s="52" t="s">
        <v>204</v>
      </c>
      <c r="C53" s="51"/>
      <c r="D53" s="31">
        <f>140.61+143.03+191.43</f>
        <v>475.07</v>
      </c>
      <c r="E53" s="1"/>
    </row>
    <row r="54" spans="2:5" x14ac:dyDescent="0.3">
      <c r="B54" s="52"/>
      <c r="C54" s="51"/>
      <c r="D54" s="1"/>
      <c r="E54" s="1"/>
    </row>
    <row r="55" spans="2:5" x14ac:dyDescent="0.3">
      <c r="B55" s="52"/>
      <c r="C55" s="51"/>
      <c r="D55" s="1">
        <v>0</v>
      </c>
      <c r="E55" s="1"/>
    </row>
    <row r="56" spans="2:5" x14ac:dyDescent="0.3">
      <c r="B56" s="56" t="s">
        <v>52</v>
      </c>
      <c r="C56" s="57"/>
      <c r="D56" s="1">
        <v>0</v>
      </c>
      <c r="E56" s="1"/>
    </row>
    <row r="57" spans="2:5" x14ac:dyDescent="0.3">
      <c r="B57" s="52" t="s">
        <v>53</v>
      </c>
      <c r="C57" s="51"/>
      <c r="D57" s="1">
        <f>3446.86+6065.58</f>
        <v>9512.44</v>
      </c>
      <c r="E57" s="1"/>
    </row>
    <row r="58" spans="2:5" x14ac:dyDescent="0.3">
      <c r="B58" s="52"/>
      <c r="C58" s="51"/>
      <c r="D58" s="1">
        <v>0</v>
      </c>
      <c r="E58" s="1"/>
    </row>
    <row r="59" spans="2:5" x14ac:dyDescent="0.3">
      <c r="B59" s="59" t="s">
        <v>42</v>
      </c>
      <c r="C59" s="51"/>
      <c r="D59" s="3">
        <f>SUM(D46:D58)</f>
        <v>44282.94</v>
      </c>
      <c r="E59" s="1"/>
    </row>
    <row r="60" spans="2:5" x14ac:dyDescent="0.3">
      <c r="B60" s="14"/>
      <c r="C60" s="14"/>
      <c r="D60" s="14"/>
      <c r="E60" s="14"/>
    </row>
    <row r="61" spans="2:5" x14ac:dyDescent="0.3">
      <c r="B61" t="s">
        <v>11</v>
      </c>
    </row>
    <row r="62" spans="2:5" x14ac:dyDescent="0.3">
      <c r="B62" t="s">
        <v>12</v>
      </c>
      <c r="C62" t="s">
        <v>13</v>
      </c>
    </row>
    <row r="68" spans="2:5" ht="15.6" x14ac:dyDescent="0.3">
      <c r="C68" s="4" t="s">
        <v>6</v>
      </c>
      <c r="D68" s="4"/>
    </row>
    <row r="69" spans="2:5" x14ac:dyDescent="0.3">
      <c r="B69" s="5" t="s">
        <v>7</v>
      </c>
      <c r="C69" s="5"/>
      <c r="D69" s="5"/>
      <c r="E69" s="5"/>
    </row>
    <row r="70" spans="2:5" x14ac:dyDescent="0.3">
      <c r="B70" s="5"/>
      <c r="C70" s="5" t="s">
        <v>30</v>
      </c>
      <c r="D70" s="5"/>
      <c r="E70" s="5"/>
    </row>
    <row r="71" spans="2:5" x14ac:dyDescent="0.3">
      <c r="B71" t="s">
        <v>163</v>
      </c>
      <c r="C71" t="s">
        <v>176</v>
      </c>
      <c r="D71" s="6">
        <v>4</v>
      </c>
    </row>
    <row r="74" spans="2:5" ht="28.8" x14ac:dyDescent="0.3">
      <c r="B74" s="1" t="s">
        <v>0</v>
      </c>
      <c r="C74" s="2" t="s">
        <v>1</v>
      </c>
      <c r="D74" s="2" t="s">
        <v>2</v>
      </c>
      <c r="E74" s="2" t="s">
        <v>3</v>
      </c>
    </row>
    <row r="75" spans="2:5" x14ac:dyDescent="0.3">
      <c r="B75" s="3" t="s">
        <v>4</v>
      </c>
      <c r="C75" s="1">
        <f>63245.48+8078.5</f>
        <v>71323.98000000001</v>
      </c>
      <c r="D75" s="1">
        <f>52241.78+8078.5</f>
        <v>60320.28</v>
      </c>
      <c r="E75" s="1">
        <v>91645.96</v>
      </c>
    </row>
    <row r="76" spans="2:5" x14ac:dyDescent="0.3">
      <c r="B76" s="49" t="s">
        <v>10</v>
      </c>
      <c r="C76" s="50"/>
      <c r="D76" s="51"/>
      <c r="E76" s="1">
        <f>C75-E75</f>
        <v>-20321.979999999996</v>
      </c>
    </row>
    <row r="78" spans="2:5" ht="28.8" x14ac:dyDescent="0.3">
      <c r="B78" s="60" t="s">
        <v>37</v>
      </c>
      <c r="C78" s="51"/>
      <c r="D78" s="21" t="s">
        <v>41</v>
      </c>
      <c r="E78" s="3"/>
    </row>
    <row r="79" spans="2:5" x14ac:dyDescent="0.3">
      <c r="B79" s="60" t="s">
        <v>38</v>
      </c>
      <c r="C79" s="51"/>
      <c r="D79" s="1">
        <v>0</v>
      </c>
      <c r="E79" s="1"/>
    </row>
    <row r="80" spans="2:5" ht="15.6" x14ac:dyDescent="0.3">
      <c r="B80" s="52" t="s">
        <v>317</v>
      </c>
      <c r="C80" s="51"/>
      <c r="D80" s="32">
        <v>1511.7</v>
      </c>
      <c r="E80" s="1"/>
    </row>
    <row r="81" spans="2:5" x14ac:dyDescent="0.3">
      <c r="B81" s="52"/>
      <c r="C81" s="51"/>
      <c r="D81" s="1">
        <v>0</v>
      </c>
      <c r="E81" s="1"/>
    </row>
    <row r="82" spans="2:5" x14ac:dyDescent="0.3">
      <c r="B82" s="60" t="s">
        <v>40</v>
      </c>
      <c r="C82" s="51"/>
      <c r="D82" s="1">
        <v>0</v>
      </c>
      <c r="E82" s="1"/>
    </row>
    <row r="83" spans="2:5" ht="15.6" x14ac:dyDescent="0.3">
      <c r="B83" s="52" t="s">
        <v>311</v>
      </c>
      <c r="C83" s="51"/>
      <c r="D83" s="31">
        <v>6321.26</v>
      </c>
      <c r="E83" s="1"/>
    </row>
    <row r="84" spans="2:5" ht="15.6" x14ac:dyDescent="0.3">
      <c r="B84" s="52" t="s">
        <v>315</v>
      </c>
      <c r="C84" s="51"/>
      <c r="D84" s="31">
        <v>11990.45</v>
      </c>
      <c r="E84" s="1"/>
    </row>
    <row r="85" spans="2:5" ht="15.6" x14ac:dyDescent="0.3">
      <c r="B85" s="66" t="s">
        <v>92</v>
      </c>
      <c r="C85" s="79"/>
      <c r="D85" s="31">
        <v>40000</v>
      </c>
      <c r="E85" s="1"/>
    </row>
    <row r="86" spans="2:5" ht="15.6" x14ac:dyDescent="0.3">
      <c r="B86" s="66" t="s">
        <v>316</v>
      </c>
      <c r="C86" s="51"/>
      <c r="D86" s="31">
        <f>18702.8+512.77+1634.24</f>
        <v>20849.810000000001</v>
      </c>
      <c r="E86" s="1"/>
    </row>
    <row r="87" spans="2:5" x14ac:dyDescent="0.3">
      <c r="B87" s="61" t="s">
        <v>47</v>
      </c>
      <c r="C87" s="51"/>
      <c r="D87" s="1">
        <v>0</v>
      </c>
      <c r="E87" s="1"/>
    </row>
    <row r="88" spans="2:5" x14ac:dyDescent="0.3">
      <c r="B88" s="52" t="s">
        <v>306</v>
      </c>
      <c r="C88" s="51"/>
      <c r="D88" s="27">
        <v>2697.22</v>
      </c>
      <c r="E88" s="1"/>
    </row>
    <row r="89" spans="2:5" x14ac:dyDescent="0.3">
      <c r="B89" s="52"/>
      <c r="C89" s="51"/>
      <c r="D89" s="1"/>
      <c r="E89" s="1"/>
    </row>
    <row r="90" spans="2:5" x14ac:dyDescent="0.3">
      <c r="B90" s="52"/>
      <c r="C90" s="51"/>
      <c r="D90" s="1">
        <v>0</v>
      </c>
      <c r="E90" s="1"/>
    </row>
    <row r="91" spans="2:5" x14ac:dyDescent="0.3">
      <c r="B91" s="56" t="s">
        <v>52</v>
      </c>
      <c r="C91" s="57"/>
      <c r="D91" s="1">
        <v>0</v>
      </c>
      <c r="E91" s="1"/>
    </row>
    <row r="92" spans="2:5" x14ac:dyDescent="0.3">
      <c r="B92" s="52" t="s">
        <v>53</v>
      </c>
      <c r="C92" s="51"/>
      <c r="D92" s="1">
        <f>2021.86+6253.66</f>
        <v>8275.52</v>
      </c>
      <c r="E92" s="1"/>
    </row>
    <row r="93" spans="2:5" x14ac:dyDescent="0.3">
      <c r="B93" s="52"/>
      <c r="C93" s="51"/>
      <c r="D93" s="1">
        <v>0</v>
      </c>
      <c r="E93" s="1"/>
    </row>
    <row r="94" spans="2:5" x14ac:dyDescent="0.3">
      <c r="B94" s="59" t="s">
        <v>42</v>
      </c>
      <c r="C94" s="51"/>
      <c r="D94" s="3">
        <f>SUM(D79:D93)</f>
        <v>91645.96</v>
      </c>
      <c r="E94" s="1"/>
    </row>
    <row r="95" spans="2:5" x14ac:dyDescent="0.3">
      <c r="B95" s="14"/>
      <c r="C95" s="14"/>
      <c r="D95" s="14"/>
      <c r="E95" s="14"/>
    </row>
    <row r="96" spans="2:5" x14ac:dyDescent="0.3">
      <c r="B96" t="s">
        <v>11</v>
      </c>
    </row>
    <row r="97" spans="2:5" x14ac:dyDescent="0.3">
      <c r="B97" t="s">
        <v>12</v>
      </c>
      <c r="C97" t="s">
        <v>13</v>
      </c>
    </row>
    <row r="103" spans="2:5" ht="15.6" x14ac:dyDescent="0.3">
      <c r="C103" s="4" t="s">
        <v>6</v>
      </c>
      <c r="D103" s="4"/>
    </row>
    <row r="104" spans="2:5" x14ac:dyDescent="0.3">
      <c r="B104" s="5" t="s">
        <v>7</v>
      </c>
      <c r="C104" s="5"/>
      <c r="D104" s="5"/>
      <c r="E104" s="5"/>
    </row>
    <row r="105" spans="2:5" x14ac:dyDescent="0.3">
      <c r="B105" s="5"/>
      <c r="C105" s="5" t="s">
        <v>30</v>
      </c>
      <c r="D105" s="5"/>
      <c r="E105" s="5"/>
    </row>
    <row r="106" spans="2:5" x14ac:dyDescent="0.3">
      <c r="B106" t="s">
        <v>163</v>
      </c>
      <c r="C106" t="s">
        <v>176</v>
      </c>
      <c r="D106" s="6">
        <v>5</v>
      </c>
    </row>
    <row r="109" spans="2:5" ht="28.8" x14ac:dyDescent="0.3">
      <c r="B109" s="1" t="s">
        <v>0</v>
      </c>
      <c r="C109" s="2" t="s">
        <v>1</v>
      </c>
      <c r="D109" s="2" t="s">
        <v>2</v>
      </c>
      <c r="E109" s="2" t="s">
        <v>3</v>
      </c>
    </row>
    <row r="110" spans="2:5" x14ac:dyDescent="0.3">
      <c r="B110" s="3" t="s">
        <v>4</v>
      </c>
      <c r="C110" s="1">
        <v>67984.98</v>
      </c>
      <c r="D110" s="1">
        <v>62166.71</v>
      </c>
      <c r="E110" s="1">
        <v>84908</v>
      </c>
    </row>
    <row r="111" spans="2:5" x14ac:dyDescent="0.3">
      <c r="B111" s="49" t="s">
        <v>10</v>
      </c>
      <c r="C111" s="50"/>
      <c r="D111" s="51"/>
      <c r="E111" s="1">
        <f>C110-E110</f>
        <v>-16923.020000000004</v>
      </c>
    </row>
    <row r="113" spans="2:5" ht="28.8" x14ac:dyDescent="0.3">
      <c r="B113" s="60" t="s">
        <v>37</v>
      </c>
      <c r="C113" s="51"/>
      <c r="D113" s="21" t="s">
        <v>41</v>
      </c>
      <c r="E113" s="3"/>
    </row>
    <row r="114" spans="2:5" x14ac:dyDescent="0.3">
      <c r="B114" s="60" t="s">
        <v>38</v>
      </c>
      <c r="C114" s="51"/>
      <c r="D114" s="1">
        <v>0</v>
      </c>
      <c r="E114" s="1"/>
    </row>
    <row r="115" spans="2:5" ht="15.6" x14ac:dyDescent="0.3">
      <c r="B115" s="52" t="s">
        <v>318</v>
      </c>
      <c r="C115" s="51"/>
      <c r="D115" s="36">
        <v>6656.31</v>
      </c>
      <c r="E115" s="1"/>
    </row>
    <row r="116" spans="2:5" x14ac:dyDescent="0.3">
      <c r="B116" s="52" t="s">
        <v>320</v>
      </c>
      <c r="C116" s="51"/>
      <c r="D116" s="33">
        <v>6212.51</v>
      </c>
      <c r="E116" s="1"/>
    </row>
    <row r="117" spans="2:5" x14ac:dyDescent="0.3">
      <c r="B117" s="60" t="s">
        <v>40</v>
      </c>
      <c r="C117" s="51"/>
      <c r="D117" s="1">
        <v>0</v>
      </c>
      <c r="E117" s="1"/>
    </row>
    <row r="118" spans="2:5" x14ac:dyDescent="0.3">
      <c r="B118" s="52" t="s">
        <v>319</v>
      </c>
      <c r="C118" s="51"/>
      <c r="D118" s="33">
        <v>2765.56</v>
      </c>
      <c r="E118" s="1"/>
    </row>
    <row r="119" spans="2:5" x14ac:dyDescent="0.3">
      <c r="B119" s="66" t="s">
        <v>270</v>
      </c>
      <c r="C119" s="51"/>
      <c r="D119" s="27">
        <v>2710.26</v>
      </c>
      <c r="E119" s="1"/>
    </row>
    <row r="120" spans="2:5" x14ac:dyDescent="0.3">
      <c r="B120" s="66" t="s">
        <v>321</v>
      </c>
      <c r="C120" s="51"/>
      <c r="D120" s="27">
        <v>39500</v>
      </c>
      <c r="E120" s="1"/>
    </row>
    <row r="121" spans="2:5" x14ac:dyDescent="0.3">
      <c r="B121" s="66" t="s">
        <v>70</v>
      </c>
      <c r="C121" s="51"/>
      <c r="D121" s="27">
        <v>3016.94</v>
      </c>
      <c r="E121" s="1"/>
    </row>
    <row r="122" spans="2:5" x14ac:dyDescent="0.3">
      <c r="B122" s="52"/>
      <c r="C122" s="51"/>
      <c r="D122" s="1">
        <v>0</v>
      </c>
      <c r="E122" s="1"/>
    </row>
    <row r="123" spans="2:5" x14ac:dyDescent="0.3">
      <c r="B123" s="61" t="s">
        <v>47</v>
      </c>
      <c r="C123" s="51"/>
      <c r="D123" s="1">
        <v>0</v>
      </c>
      <c r="E123" s="1"/>
    </row>
    <row r="124" spans="2:5" x14ac:dyDescent="0.3">
      <c r="B124" s="52" t="s">
        <v>204</v>
      </c>
      <c r="C124" s="51"/>
      <c r="D124" s="27">
        <v>191.43</v>
      </c>
      <c r="E124" s="1"/>
    </row>
    <row r="125" spans="2:5" x14ac:dyDescent="0.3">
      <c r="B125" s="52"/>
      <c r="C125" s="51"/>
      <c r="D125" s="1">
        <v>0</v>
      </c>
      <c r="E125" s="1"/>
    </row>
    <row r="126" spans="2:5" x14ac:dyDescent="0.3">
      <c r="B126" s="52"/>
      <c r="C126" s="51"/>
      <c r="D126" s="1">
        <v>0</v>
      </c>
      <c r="E126" s="1"/>
    </row>
    <row r="127" spans="2:5" x14ac:dyDescent="0.3">
      <c r="B127" s="56" t="s">
        <v>52</v>
      </c>
      <c r="C127" s="57"/>
      <c r="D127" s="1">
        <v>0</v>
      </c>
      <c r="E127" s="1"/>
    </row>
    <row r="128" spans="2:5" x14ac:dyDescent="0.3">
      <c r="B128" s="52" t="s">
        <v>53</v>
      </c>
      <c r="C128" s="51"/>
      <c r="D128" s="1">
        <f>4716.4+4721.2</f>
        <v>9437.5999999999985</v>
      </c>
      <c r="E128" s="1"/>
    </row>
    <row r="129" spans="2:5" x14ac:dyDescent="0.3">
      <c r="B129" s="52" t="s">
        <v>322</v>
      </c>
      <c r="C129" s="51"/>
      <c r="D129" s="27">
        <v>14417.39</v>
      </c>
      <c r="E129" s="1"/>
    </row>
    <row r="130" spans="2:5" x14ac:dyDescent="0.3">
      <c r="B130" s="59" t="s">
        <v>42</v>
      </c>
      <c r="C130" s="51"/>
      <c r="D130" s="3">
        <f>SUM(D114:D129)</f>
        <v>84908</v>
      </c>
      <c r="E130" s="1"/>
    </row>
    <row r="131" spans="2:5" x14ac:dyDescent="0.3">
      <c r="B131" s="14"/>
      <c r="C131" s="14"/>
      <c r="D131" s="14"/>
      <c r="E131" s="14"/>
    </row>
    <row r="132" spans="2:5" x14ac:dyDescent="0.3">
      <c r="B132" t="s">
        <v>11</v>
      </c>
    </row>
    <row r="133" spans="2:5" x14ac:dyDescent="0.3">
      <c r="B133" t="s">
        <v>12</v>
      </c>
      <c r="C133" t="s">
        <v>13</v>
      </c>
    </row>
    <row r="139" spans="2:5" ht="15.6" x14ac:dyDescent="0.3">
      <c r="C139" s="4" t="s">
        <v>6</v>
      </c>
      <c r="D139" s="4"/>
    </row>
    <row r="140" spans="2:5" x14ac:dyDescent="0.3">
      <c r="B140" s="5" t="s">
        <v>7</v>
      </c>
      <c r="C140" s="5"/>
      <c r="D140" s="5"/>
      <c r="E140" s="5"/>
    </row>
    <row r="141" spans="2:5" x14ac:dyDescent="0.3">
      <c r="B141" s="5"/>
      <c r="C141" s="5" t="s">
        <v>30</v>
      </c>
      <c r="D141" s="5"/>
      <c r="E141" s="5"/>
    </row>
    <row r="142" spans="2:5" x14ac:dyDescent="0.3">
      <c r="B142" t="s">
        <v>163</v>
      </c>
      <c r="C142" t="s">
        <v>176</v>
      </c>
      <c r="D142" s="6">
        <v>6</v>
      </c>
    </row>
    <row r="145" spans="2:5" ht="28.8" x14ac:dyDescent="0.3">
      <c r="B145" s="1" t="s">
        <v>0</v>
      </c>
      <c r="C145" s="2" t="s">
        <v>1</v>
      </c>
      <c r="D145" s="2" t="s">
        <v>2</v>
      </c>
      <c r="E145" s="2" t="s">
        <v>3</v>
      </c>
    </row>
    <row r="146" spans="2:5" x14ac:dyDescent="0.3">
      <c r="B146" s="3" t="s">
        <v>4</v>
      </c>
      <c r="C146" s="1">
        <v>61816.800000000003</v>
      </c>
      <c r="D146" s="1">
        <v>54619.59</v>
      </c>
      <c r="E146" s="1">
        <v>129960.5</v>
      </c>
    </row>
    <row r="147" spans="2:5" x14ac:dyDescent="0.3">
      <c r="B147" s="49" t="s">
        <v>10</v>
      </c>
      <c r="C147" s="50"/>
      <c r="D147" s="51"/>
      <c r="E147" s="1">
        <f>C146-E146</f>
        <v>-68143.7</v>
      </c>
    </row>
    <row r="149" spans="2:5" ht="28.8" x14ac:dyDescent="0.3">
      <c r="B149" s="60" t="s">
        <v>37</v>
      </c>
      <c r="C149" s="51"/>
      <c r="D149" s="21" t="s">
        <v>41</v>
      </c>
      <c r="E149" s="3"/>
    </row>
    <row r="150" spans="2:5" x14ac:dyDescent="0.3">
      <c r="B150" s="60" t="s">
        <v>38</v>
      </c>
      <c r="C150" s="51"/>
      <c r="D150" s="1">
        <v>0</v>
      </c>
      <c r="E150" s="1"/>
    </row>
    <row r="151" spans="2:5" x14ac:dyDescent="0.3">
      <c r="B151" s="52" t="s">
        <v>323</v>
      </c>
      <c r="C151" s="51"/>
      <c r="D151" s="33">
        <v>35984.35</v>
      </c>
      <c r="E151" s="1"/>
    </row>
    <row r="152" spans="2:5" ht="15.6" x14ac:dyDescent="0.3">
      <c r="B152" s="52" t="s">
        <v>58</v>
      </c>
      <c r="C152" s="51"/>
      <c r="D152" s="32">
        <v>2866.81</v>
      </c>
      <c r="E152" s="1"/>
    </row>
    <row r="153" spans="2:5" ht="15.6" x14ac:dyDescent="0.3">
      <c r="B153" s="68" t="s">
        <v>231</v>
      </c>
      <c r="C153" s="65"/>
      <c r="D153" s="32">
        <v>1558.39</v>
      </c>
      <c r="E153" s="1"/>
    </row>
    <row r="154" spans="2:5" x14ac:dyDescent="0.3">
      <c r="B154" s="60" t="s">
        <v>40</v>
      </c>
      <c r="C154" s="51"/>
      <c r="D154" s="1">
        <v>0</v>
      </c>
      <c r="E154" s="1"/>
    </row>
    <row r="155" spans="2:5" ht="15.6" x14ac:dyDescent="0.3">
      <c r="B155" s="52" t="s">
        <v>195</v>
      </c>
      <c r="C155" s="51"/>
      <c r="D155" s="34">
        <v>594.86</v>
      </c>
      <c r="E155" s="1"/>
    </row>
    <row r="156" spans="2:5" x14ac:dyDescent="0.3">
      <c r="B156" s="52" t="s">
        <v>324</v>
      </c>
      <c r="C156" s="51"/>
      <c r="D156" s="27">
        <v>2630.78</v>
      </c>
      <c r="E156" s="1"/>
    </row>
    <row r="157" spans="2:5" ht="15.6" x14ac:dyDescent="0.3">
      <c r="B157" s="71" t="s">
        <v>325</v>
      </c>
      <c r="C157" s="65"/>
      <c r="D157" s="35">
        <v>3355.76</v>
      </c>
      <c r="E157" s="1"/>
    </row>
    <row r="158" spans="2:5" x14ac:dyDescent="0.3">
      <c r="B158" s="25"/>
      <c r="C158" s="26"/>
      <c r="D158" s="1"/>
      <c r="E158" s="1"/>
    </row>
    <row r="159" spans="2:5" x14ac:dyDescent="0.3">
      <c r="B159" s="61" t="s">
        <v>47</v>
      </c>
      <c r="C159" s="51"/>
      <c r="D159" s="1">
        <v>0</v>
      </c>
      <c r="E159" s="1"/>
    </row>
    <row r="160" spans="2:5" x14ac:dyDescent="0.3">
      <c r="B160" s="52" t="s">
        <v>77</v>
      </c>
      <c r="C160" s="51"/>
      <c r="D160" s="30">
        <v>17842.63</v>
      </c>
      <c r="E160" s="1"/>
    </row>
    <row r="161" spans="2:5" x14ac:dyDescent="0.3">
      <c r="B161" s="52" t="s">
        <v>204</v>
      </c>
      <c r="C161" s="51"/>
      <c r="D161" s="1">
        <f>145.45+2334.91</f>
        <v>2480.3599999999997</v>
      </c>
      <c r="E161" s="1"/>
    </row>
    <row r="162" spans="2:5" ht="15.6" x14ac:dyDescent="0.3">
      <c r="B162" s="52" t="s">
        <v>326</v>
      </c>
      <c r="C162" s="51"/>
      <c r="D162" s="32">
        <v>57450.85</v>
      </c>
      <c r="E162" s="1"/>
    </row>
    <row r="163" spans="2:5" x14ac:dyDescent="0.3">
      <c r="B163" s="56" t="s">
        <v>52</v>
      </c>
      <c r="C163" s="57"/>
      <c r="D163" s="1">
        <v>0</v>
      </c>
      <c r="E163" s="1"/>
    </row>
    <row r="164" spans="2:5" x14ac:dyDescent="0.3">
      <c r="B164" s="52" t="s">
        <v>53</v>
      </c>
      <c r="C164" s="51"/>
      <c r="D164" s="1">
        <f>2727.16+2468.55</f>
        <v>5195.71</v>
      </c>
      <c r="E164" s="1"/>
    </row>
    <row r="165" spans="2:5" x14ac:dyDescent="0.3">
      <c r="B165" s="52"/>
      <c r="C165" s="51"/>
      <c r="D165" s="1">
        <v>0</v>
      </c>
      <c r="E165" s="1"/>
    </row>
    <row r="166" spans="2:5" x14ac:dyDescent="0.3">
      <c r="B166" s="59" t="s">
        <v>42</v>
      </c>
      <c r="C166" s="51"/>
      <c r="D166" s="3">
        <f>SUM(D150:D165)</f>
        <v>129960.50000000001</v>
      </c>
      <c r="E166" s="1"/>
    </row>
    <row r="167" spans="2:5" x14ac:dyDescent="0.3">
      <c r="B167" s="14"/>
      <c r="C167" s="14"/>
      <c r="D167" s="14"/>
      <c r="E167" s="14"/>
    </row>
    <row r="168" spans="2:5" x14ac:dyDescent="0.3">
      <c r="B168" t="s">
        <v>11</v>
      </c>
    </row>
    <row r="169" spans="2:5" x14ac:dyDescent="0.3">
      <c r="B169" t="s">
        <v>12</v>
      </c>
      <c r="C169" t="s">
        <v>13</v>
      </c>
    </row>
    <row r="173" spans="2:5" x14ac:dyDescent="0.3">
      <c r="C173" t="s">
        <v>474</v>
      </c>
    </row>
    <row r="174" spans="2:5" ht="15.6" x14ac:dyDescent="0.3">
      <c r="C174" s="4" t="s">
        <v>6</v>
      </c>
      <c r="D174" s="4"/>
    </row>
    <row r="175" spans="2:5" x14ac:dyDescent="0.3">
      <c r="B175" s="5" t="s">
        <v>7</v>
      </c>
      <c r="C175" s="5"/>
      <c r="D175" s="5"/>
      <c r="E175" s="5"/>
    </row>
    <row r="176" spans="2:5" x14ac:dyDescent="0.3">
      <c r="B176" s="5"/>
      <c r="C176" s="5" t="s">
        <v>30</v>
      </c>
      <c r="D176" s="5"/>
      <c r="E176" s="5"/>
    </row>
    <row r="177" spans="2:5" x14ac:dyDescent="0.3">
      <c r="B177" t="s">
        <v>163</v>
      </c>
      <c r="C177" t="s">
        <v>176</v>
      </c>
      <c r="D177" s="6">
        <v>7</v>
      </c>
    </row>
    <row r="180" spans="2:5" ht="28.8" x14ac:dyDescent="0.3">
      <c r="B180" s="1" t="s">
        <v>0</v>
      </c>
      <c r="C180" s="2" t="s">
        <v>1</v>
      </c>
      <c r="D180" s="2" t="s">
        <v>2</v>
      </c>
      <c r="E180" s="2" t="s">
        <v>3</v>
      </c>
    </row>
    <row r="181" spans="2:5" x14ac:dyDescent="0.3">
      <c r="B181" s="3" t="s">
        <v>4</v>
      </c>
      <c r="C181" s="1">
        <v>18202.38</v>
      </c>
      <c r="D181" s="1">
        <v>13203.24</v>
      </c>
      <c r="E181" s="1">
        <v>58109.93</v>
      </c>
    </row>
    <row r="182" spans="2:5" x14ac:dyDescent="0.3">
      <c r="B182" s="49" t="s">
        <v>10</v>
      </c>
      <c r="C182" s="50"/>
      <c r="D182" s="51"/>
      <c r="E182" s="1">
        <f>C181-E181</f>
        <v>-39907.550000000003</v>
      </c>
    </row>
    <row r="184" spans="2:5" ht="28.8" x14ac:dyDescent="0.3">
      <c r="B184" s="60" t="s">
        <v>37</v>
      </c>
      <c r="C184" s="51"/>
      <c r="D184" s="21" t="s">
        <v>41</v>
      </c>
      <c r="E184" s="3"/>
    </row>
    <row r="185" spans="2:5" x14ac:dyDescent="0.3">
      <c r="B185" s="60" t="s">
        <v>38</v>
      </c>
      <c r="C185" s="51"/>
      <c r="D185" s="1">
        <v>0</v>
      </c>
      <c r="E185" s="1"/>
    </row>
    <row r="186" spans="2:5" ht="15.6" x14ac:dyDescent="0.3">
      <c r="B186" s="52" t="s">
        <v>328</v>
      </c>
      <c r="C186" s="51"/>
      <c r="D186" s="32">
        <v>8692.14</v>
      </c>
      <c r="E186" s="1"/>
    </row>
    <row r="187" spans="2:5" ht="15.6" x14ac:dyDescent="0.3">
      <c r="B187" s="52" t="s">
        <v>329</v>
      </c>
      <c r="C187" s="51"/>
      <c r="D187" s="32">
        <v>3865.69</v>
      </c>
      <c r="E187" s="1"/>
    </row>
    <row r="188" spans="2:5" x14ac:dyDescent="0.3">
      <c r="B188" s="60" t="s">
        <v>40</v>
      </c>
      <c r="C188" s="51"/>
      <c r="D188" s="1">
        <v>0</v>
      </c>
      <c r="E188" s="1"/>
    </row>
    <row r="189" spans="2:5" ht="15.6" x14ac:dyDescent="0.3">
      <c r="B189" s="52" t="s">
        <v>78</v>
      </c>
      <c r="C189" s="51"/>
      <c r="D189" s="32">
        <v>45552.1</v>
      </c>
      <c r="E189" s="1"/>
    </row>
    <row r="190" spans="2:5" x14ac:dyDescent="0.3">
      <c r="B190" s="52"/>
      <c r="C190" s="51"/>
      <c r="D190" s="1">
        <v>0</v>
      </c>
      <c r="E190" s="1"/>
    </row>
    <row r="191" spans="2:5" x14ac:dyDescent="0.3">
      <c r="B191" s="61" t="s">
        <v>47</v>
      </c>
      <c r="C191" s="51"/>
      <c r="D191" s="1">
        <v>0</v>
      </c>
      <c r="E191" s="1"/>
    </row>
    <row r="192" spans="2:5" x14ac:dyDescent="0.3">
      <c r="B192" s="52"/>
      <c r="C192" s="51"/>
      <c r="D192" s="1">
        <v>0</v>
      </c>
      <c r="E192" s="1"/>
    </row>
    <row r="193" spans="2:5" x14ac:dyDescent="0.3">
      <c r="B193" s="52"/>
      <c r="C193" s="51"/>
      <c r="D193" s="1"/>
      <c r="E193" s="1"/>
    </row>
    <row r="194" spans="2:5" x14ac:dyDescent="0.3">
      <c r="B194" s="52"/>
      <c r="C194" s="51"/>
      <c r="D194" s="1">
        <v>0</v>
      </c>
      <c r="E194" s="1"/>
    </row>
    <row r="195" spans="2:5" x14ac:dyDescent="0.3">
      <c r="B195" s="56" t="s">
        <v>52</v>
      </c>
      <c r="C195" s="57"/>
      <c r="D195" s="1">
        <v>0</v>
      </c>
      <c r="E195" s="1"/>
    </row>
    <row r="196" spans="2:5" x14ac:dyDescent="0.3">
      <c r="B196" s="52" t="s">
        <v>53</v>
      </c>
      <c r="C196" s="51"/>
      <c r="D196" s="1"/>
      <c r="E196" s="1"/>
    </row>
    <row r="197" spans="2:5" ht="15.6" x14ac:dyDescent="0.3">
      <c r="B197" s="52" t="s">
        <v>327</v>
      </c>
      <c r="C197" s="51"/>
      <c r="D197" s="34">
        <v>8725.98</v>
      </c>
      <c r="E197" s="1"/>
    </row>
    <row r="198" spans="2:5" x14ac:dyDescent="0.3">
      <c r="B198" s="59" t="s">
        <v>42</v>
      </c>
      <c r="C198" s="51"/>
      <c r="D198" s="3">
        <f>SUM(D185:D197)</f>
        <v>66835.91</v>
      </c>
      <c r="E198" s="1"/>
    </row>
    <row r="199" spans="2:5" x14ac:dyDescent="0.3">
      <c r="B199" s="74" t="s">
        <v>475</v>
      </c>
      <c r="C199" s="75"/>
      <c r="D199" s="3"/>
      <c r="E199" s="1"/>
    </row>
    <row r="200" spans="2:5" x14ac:dyDescent="0.3">
      <c r="B200" s="76" t="s">
        <v>327</v>
      </c>
      <c r="C200" s="77"/>
      <c r="D200" s="45">
        <v>-8725.98</v>
      </c>
      <c r="E200" s="1"/>
    </row>
    <row r="201" spans="2:5" x14ac:dyDescent="0.3">
      <c r="B201" s="78" t="s">
        <v>42</v>
      </c>
      <c r="C201" s="77"/>
      <c r="D201" s="38">
        <f>D198+D200</f>
        <v>58109.930000000008</v>
      </c>
      <c r="E201" s="1"/>
    </row>
    <row r="202" spans="2:5" x14ac:dyDescent="0.3">
      <c r="B202" s="14"/>
      <c r="C202" s="14"/>
      <c r="D202" s="14"/>
      <c r="E202" s="14"/>
    </row>
    <row r="203" spans="2:5" x14ac:dyDescent="0.3">
      <c r="B203" t="s">
        <v>11</v>
      </c>
    </row>
    <row r="204" spans="2:5" x14ac:dyDescent="0.3">
      <c r="B204" t="s">
        <v>12</v>
      </c>
      <c r="C204" t="s">
        <v>13</v>
      </c>
    </row>
    <row r="210" spans="2:5" x14ac:dyDescent="0.3">
      <c r="C210" t="s">
        <v>474</v>
      </c>
    </row>
    <row r="211" spans="2:5" ht="15.6" x14ac:dyDescent="0.3">
      <c r="C211" s="4" t="s">
        <v>6</v>
      </c>
      <c r="D211" s="4"/>
    </row>
    <row r="212" spans="2:5" x14ac:dyDescent="0.3">
      <c r="B212" s="5" t="s">
        <v>7</v>
      </c>
      <c r="C212" s="5"/>
      <c r="D212" s="5"/>
      <c r="E212" s="5"/>
    </row>
    <row r="213" spans="2:5" x14ac:dyDescent="0.3">
      <c r="B213" s="5"/>
      <c r="C213" s="5" t="s">
        <v>30</v>
      </c>
      <c r="D213" s="5"/>
      <c r="E213" s="5"/>
    </row>
    <row r="214" spans="2:5" x14ac:dyDescent="0.3">
      <c r="B214" t="s">
        <v>163</v>
      </c>
      <c r="C214" t="s">
        <v>176</v>
      </c>
      <c r="D214" s="6">
        <v>9</v>
      </c>
    </row>
    <row r="217" spans="2:5" ht="28.8" x14ac:dyDescent="0.3">
      <c r="B217" s="1" t="s">
        <v>0</v>
      </c>
      <c r="C217" s="2" t="s">
        <v>1</v>
      </c>
      <c r="D217" s="2" t="s">
        <v>2</v>
      </c>
      <c r="E217" s="2" t="s">
        <v>3</v>
      </c>
    </row>
    <row r="218" spans="2:5" x14ac:dyDescent="0.3">
      <c r="B218" s="3" t="s">
        <v>4</v>
      </c>
      <c r="C218" s="1">
        <v>17831.46</v>
      </c>
      <c r="D218" s="1">
        <v>16134.15</v>
      </c>
      <c r="E218" s="46">
        <v>35947.5</v>
      </c>
    </row>
    <row r="219" spans="2:5" x14ac:dyDescent="0.3">
      <c r="B219" s="49" t="s">
        <v>10</v>
      </c>
      <c r="C219" s="50"/>
      <c r="D219" s="51"/>
      <c r="E219" s="46">
        <f>C218-E218</f>
        <v>-18116.04</v>
      </c>
    </row>
    <row r="221" spans="2:5" ht="28.8" x14ac:dyDescent="0.3">
      <c r="B221" s="60" t="s">
        <v>37</v>
      </c>
      <c r="C221" s="51"/>
      <c r="D221" s="21" t="s">
        <v>41</v>
      </c>
      <c r="E221" s="3"/>
    </row>
    <row r="222" spans="2:5" x14ac:dyDescent="0.3">
      <c r="B222" s="60" t="s">
        <v>38</v>
      </c>
      <c r="C222" s="51"/>
      <c r="D222" s="1">
        <v>0</v>
      </c>
      <c r="E222" s="1"/>
    </row>
    <row r="223" spans="2:5" ht="15.6" x14ac:dyDescent="0.3">
      <c r="B223" s="52" t="s">
        <v>331</v>
      </c>
      <c r="C223" s="51"/>
      <c r="D223" s="32">
        <v>24178.55</v>
      </c>
      <c r="E223" s="1"/>
    </row>
    <row r="224" spans="2:5" x14ac:dyDescent="0.3">
      <c r="B224" s="52"/>
      <c r="C224" s="51"/>
      <c r="D224" s="1">
        <v>0</v>
      </c>
      <c r="E224" s="1"/>
    </row>
    <row r="225" spans="2:5" x14ac:dyDescent="0.3">
      <c r="B225" s="60" t="s">
        <v>40</v>
      </c>
      <c r="C225" s="51"/>
      <c r="D225" s="1">
        <v>0</v>
      </c>
      <c r="E225" s="1"/>
    </row>
    <row r="226" spans="2:5" x14ac:dyDescent="0.3">
      <c r="B226" s="52" t="s">
        <v>330</v>
      </c>
      <c r="C226" s="51"/>
      <c r="D226" s="30">
        <v>5820.01</v>
      </c>
      <c r="E226" s="1"/>
    </row>
    <row r="227" spans="2:5" ht="15.6" x14ac:dyDescent="0.3">
      <c r="B227" s="52" t="s">
        <v>63</v>
      </c>
      <c r="C227" s="51"/>
      <c r="D227" s="35">
        <v>5807.88</v>
      </c>
      <c r="E227" s="1"/>
    </row>
    <row r="228" spans="2:5" x14ac:dyDescent="0.3">
      <c r="B228" s="61" t="s">
        <v>47</v>
      </c>
      <c r="C228" s="51"/>
      <c r="D228" s="1">
        <v>0</v>
      </c>
      <c r="E228" s="1"/>
    </row>
    <row r="229" spans="2:5" x14ac:dyDescent="0.3">
      <c r="B229" s="52"/>
      <c r="C229" s="51"/>
      <c r="D229" s="1">
        <v>0</v>
      </c>
      <c r="E229" s="1"/>
    </row>
    <row r="230" spans="2:5" x14ac:dyDescent="0.3">
      <c r="B230" s="52"/>
      <c r="C230" s="51"/>
      <c r="D230" s="1"/>
      <c r="E230" s="1"/>
    </row>
    <row r="231" spans="2:5" x14ac:dyDescent="0.3">
      <c r="B231" s="52"/>
      <c r="C231" s="51"/>
      <c r="D231" s="1">
        <v>0</v>
      </c>
      <c r="E231" s="1"/>
    </row>
    <row r="232" spans="2:5" x14ac:dyDescent="0.3">
      <c r="B232" s="56" t="s">
        <v>52</v>
      </c>
      <c r="C232" s="57"/>
      <c r="D232" s="1">
        <v>0</v>
      </c>
      <c r="E232" s="1"/>
    </row>
    <row r="233" spans="2:5" ht="15.6" x14ac:dyDescent="0.3">
      <c r="B233" s="52" t="s">
        <v>53</v>
      </c>
      <c r="C233" s="51"/>
      <c r="D233" s="34">
        <v>141.06</v>
      </c>
      <c r="E233" s="1"/>
    </row>
    <row r="234" spans="2:5" ht="15.6" x14ac:dyDescent="0.3">
      <c r="B234" s="52" t="s">
        <v>327</v>
      </c>
      <c r="C234" s="51"/>
      <c r="D234" s="34">
        <v>8725.98</v>
      </c>
      <c r="E234" s="1"/>
    </row>
    <row r="235" spans="2:5" x14ac:dyDescent="0.3">
      <c r="B235" s="59" t="s">
        <v>42</v>
      </c>
      <c r="C235" s="51"/>
      <c r="D235" s="3">
        <f>SUM(D222:D234)</f>
        <v>44673.479999999996</v>
      </c>
      <c r="E235" s="1"/>
    </row>
    <row r="236" spans="2:5" x14ac:dyDescent="0.3">
      <c r="B236" s="73" t="s">
        <v>475</v>
      </c>
      <c r="C236" s="57"/>
      <c r="D236" s="3"/>
      <c r="E236" s="1"/>
    </row>
    <row r="237" spans="2:5" x14ac:dyDescent="0.3">
      <c r="B237" s="52" t="s">
        <v>327</v>
      </c>
      <c r="C237" s="51"/>
      <c r="D237" s="45">
        <v>-8725.98</v>
      </c>
      <c r="E237" s="1"/>
    </row>
    <row r="238" spans="2:5" x14ac:dyDescent="0.3">
      <c r="B238" s="59" t="s">
        <v>42</v>
      </c>
      <c r="C238" s="51"/>
      <c r="D238" s="38">
        <f>D235+D237</f>
        <v>35947.5</v>
      </c>
      <c r="E238" s="1"/>
    </row>
    <row r="239" spans="2:5" x14ac:dyDescent="0.3">
      <c r="B239" s="14"/>
      <c r="C239" s="14"/>
      <c r="D239" s="14"/>
      <c r="E239" s="14"/>
    </row>
    <row r="240" spans="2:5" x14ac:dyDescent="0.3">
      <c r="B240" t="s">
        <v>11</v>
      </c>
    </row>
    <row r="241" spans="2:5" x14ac:dyDescent="0.3">
      <c r="B241" t="s">
        <v>12</v>
      </c>
      <c r="C241" t="s">
        <v>13</v>
      </c>
    </row>
    <row r="247" spans="2:5" ht="15.6" x14ac:dyDescent="0.3">
      <c r="C247" s="4" t="s">
        <v>6</v>
      </c>
      <c r="D247" s="4"/>
    </row>
    <row r="248" spans="2:5" x14ac:dyDescent="0.3">
      <c r="B248" s="5" t="s">
        <v>7</v>
      </c>
      <c r="C248" s="5"/>
      <c r="D248" s="5"/>
      <c r="E248" s="5"/>
    </row>
    <row r="249" spans="2:5" x14ac:dyDescent="0.3">
      <c r="B249" s="5"/>
      <c r="C249" s="5" t="s">
        <v>30</v>
      </c>
      <c r="D249" s="5"/>
      <c r="E249" s="5"/>
    </row>
    <row r="250" spans="2:5" x14ac:dyDescent="0.3">
      <c r="B250" t="s">
        <v>163</v>
      </c>
      <c r="C250" t="s">
        <v>176</v>
      </c>
      <c r="D250" s="6">
        <v>10</v>
      </c>
    </row>
    <row r="253" spans="2:5" ht="28.8" x14ac:dyDescent="0.3">
      <c r="B253" s="1" t="s">
        <v>0</v>
      </c>
      <c r="C253" s="2" t="s">
        <v>1</v>
      </c>
      <c r="D253" s="2" t="s">
        <v>2</v>
      </c>
      <c r="E253" s="2" t="s">
        <v>3</v>
      </c>
    </row>
    <row r="254" spans="2:5" x14ac:dyDescent="0.3">
      <c r="B254" s="3" t="s">
        <v>4</v>
      </c>
      <c r="C254" s="1">
        <v>17853.240000000002</v>
      </c>
      <c r="D254" s="1">
        <v>14607.99</v>
      </c>
      <c r="E254" s="1">
        <v>3526.5</v>
      </c>
    </row>
    <row r="255" spans="2:5" x14ac:dyDescent="0.3">
      <c r="B255" s="49" t="s">
        <v>10</v>
      </c>
      <c r="C255" s="50"/>
      <c r="D255" s="51"/>
      <c r="E255" s="1">
        <f>C254-E254</f>
        <v>14326.740000000002</v>
      </c>
    </row>
    <row r="257" spans="2:5" ht="28.8" x14ac:dyDescent="0.3">
      <c r="B257" s="60" t="s">
        <v>37</v>
      </c>
      <c r="C257" s="51"/>
      <c r="D257" s="21" t="s">
        <v>41</v>
      </c>
      <c r="E257" s="3"/>
    </row>
    <row r="258" spans="2:5" x14ac:dyDescent="0.3">
      <c r="B258" s="60" t="s">
        <v>38</v>
      </c>
      <c r="C258" s="51"/>
      <c r="D258" s="1">
        <v>0</v>
      </c>
      <c r="E258" s="1"/>
    </row>
    <row r="259" spans="2:5" x14ac:dyDescent="0.3">
      <c r="B259" s="52"/>
      <c r="C259" s="51"/>
      <c r="D259" s="1">
        <v>0</v>
      </c>
      <c r="E259" s="1"/>
    </row>
    <row r="260" spans="2:5" x14ac:dyDescent="0.3">
      <c r="B260" s="52"/>
      <c r="C260" s="51"/>
      <c r="D260" s="1">
        <v>0</v>
      </c>
      <c r="E260" s="1"/>
    </row>
    <row r="261" spans="2:5" x14ac:dyDescent="0.3">
      <c r="B261" s="60" t="s">
        <v>40</v>
      </c>
      <c r="C261" s="51"/>
      <c r="D261" s="1">
        <v>0</v>
      </c>
      <c r="E261" s="1"/>
    </row>
    <row r="262" spans="2:5" x14ac:dyDescent="0.3">
      <c r="B262" s="52"/>
      <c r="C262" s="51"/>
      <c r="D262" s="1">
        <v>0</v>
      </c>
      <c r="E262" s="1"/>
    </row>
    <row r="263" spans="2:5" x14ac:dyDescent="0.3">
      <c r="B263" s="52"/>
      <c r="C263" s="51"/>
      <c r="D263" s="1">
        <v>0</v>
      </c>
      <c r="E263" s="1"/>
    </row>
    <row r="264" spans="2:5" x14ac:dyDescent="0.3">
      <c r="B264" s="61" t="s">
        <v>47</v>
      </c>
      <c r="C264" s="51"/>
      <c r="D264" s="1">
        <v>0</v>
      </c>
      <c r="E264" s="1"/>
    </row>
    <row r="265" spans="2:5" x14ac:dyDescent="0.3">
      <c r="B265" s="52"/>
      <c r="C265" s="51"/>
      <c r="D265" s="1">
        <v>0</v>
      </c>
      <c r="E265" s="1"/>
    </row>
    <row r="266" spans="2:5" x14ac:dyDescent="0.3">
      <c r="B266" s="52"/>
      <c r="C266" s="51"/>
      <c r="D266" s="1"/>
      <c r="E266" s="1"/>
    </row>
    <row r="267" spans="2:5" x14ac:dyDescent="0.3">
      <c r="B267" s="52"/>
      <c r="C267" s="51"/>
      <c r="D267" s="1">
        <v>0</v>
      </c>
      <c r="E267" s="1"/>
    </row>
    <row r="268" spans="2:5" x14ac:dyDescent="0.3">
      <c r="B268" s="56" t="s">
        <v>52</v>
      </c>
      <c r="C268" s="57"/>
      <c r="D268" s="1">
        <v>0</v>
      </c>
      <c r="E268" s="1"/>
    </row>
    <row r="269" spans="2:5" x14ac:dyDescent="0.3">
      <c r="B269" s="52" t="s">
        <v>53</v>
      </c>
      <c r="C269" s="51"/>
      <c r="D269" s="1">
        <f>940.4+2021.86+564.24</f>
        <v>3526.5</v>
      </c>
      <c r="E269" s="1"/>
    </row>
    <row r="270" spans="2:5" x14ac:dyDescent="0.3">
      <c r="B270" s="52"/>
      <c r="C270" s="51"/>
      <c r="D270" s="1">
        <v>0</v>
      </c>
      <c r="E270" s="1"/>
    </row>
    <row r="271" spans="2:5" x14ac:dyDescent="0.3">
      <c r="B271" s="59" t="s">
        <v>42</v>
      </c>
      <c r="C271" s="51"/>
      <c r="D271" s="3">
        <f>SUM(D258:D270)</f>
        <v>3526.5</v>
      </c>
      <c r="E271" s="1"/>
    </row>
    <row r="272" spans="2:5" x14ac:dyDescent="0.3">
      <c r="B272" s="14"/>
      <c r="C272" s="14"/>
      <c r="D272" s="14"/>
      <c r="E272" s="14"/>
    </row>
    <row r="273" spans="2:5" x14ac:dyDescent="0.3">
      <c r="B273" t="s">
        <v>11</v>
      </c>
    </row>
    <row r="274" spans="2:5" x14ac:dyDescent="0.3">
      <c r="B274" t="s">
        <v>12</v>
      </c>
      <c r="C274" t="s">
        <v>13</v>
      </c>
    </row>
    <row r="281" spans="2:5" ht="15.6" x14ac:dyDescent="0.3">
      <c r="C281" s="4" t="s">
        <v>6</v>
      </c>
      <c r="D281" s="4"/>
    </row>
    <row r="282" spans="2:5" x14ac:dyDescent="0.3">
      <c r="B282" s="5" t="s">
        <v>7</v>
      </c>
      <c r="C282" s="5"/>
      <c r="D282" s="5"/>
      <c r="E282" s="5"/>
    </row>
    <row r="283" spans="2:5" x14ac:dyDescent="0.3">
      <c r="B283" s="5"/>
      <c r="C283" s="5" t="s">
        <v>30</v>
      </c>
      <c r="D283" s="5"/>
      <c r="E283" s="5"/>
    </row>
    <row r="284" spans="2:5" x14ac:dyDescent="0.3">
      <c r="B284" t="s">
        <v>163</v>
      </c>
      <c r="C284" t="s">
        <v>176</v>
      </c>
      <c r="D284" s="6">
        <v>11</v>
      </c>
    </row>
    <row r="287" spans="2:5" ht="28.8" x14ac:dyDescent="0.3">
      <c r="B287" s="1" t="s">
        <v>0</v>
      </c>
      <c r="C287" s="2" t="s">
        <v>1</v>
      </c>
      <c r="D287" s="2" t="s">
        <v>2</v>
      </c>
      <c r="E287" s="2" t="s">
        <v>3</v>
      </c>
    </row>
    <row r="288" spans="2:5" x14ac:dyDescent="0.3">
      <c r="B288" s="3" t="s">
        <v>4</v>
      </c>
      <c r="C288" s="1">
        <v>18622.68</v>
      </c>
      <c r="D288" s="1">
        <v>17212.8</v>
      </c>
      <c r="E288" s="1">
        <v>70622.100000000006</v>
      </c>
    </row>
    <row r="289" spans="2:5" x14ac:dyDescent="0.3">
      <c r="B289" s="49" t="s">
        <v>10</v>
      </c>
      <c r="C289" s="50"/>
      <c r="D289" s="51"/>
      <c r="E289" s="1">
        <f>C288-E288</f>
        <v>-51999.420000000006</v>
      </c>
    </row>
    <row r="291" spans="2:5" ht="28.8" x14ac:dyDescent="0.3">
      <c r="B291" s="60" t="s">
        <v>37</v>
      </c>
      <c r="C291" s="51"/>
      <c r="D291" s="21" t="s">
        <v>41</v>
      </c>
      <c r="E291" s="3"/>
    </row>
    <row r="292" spans="2:5" x14ac:dyDescent="0.3">
      <c r="B292" s="60" t="s">
        <v>38</v>
      </c>
      <c r="C292" s="51"/>
      <c r="D292" s="1">
        <v>0</v>
      </c>
      <c r="E292" s="1"/>
    </row>
    <row r="293" spans="2:5" x14ac:dyDescent="0.3">
      <c r="B293" s="52"/>
      <c r="C293" s="51"/>
      <c r="D293" s="1">
        <v>0</v>
      </c>
      <c r="E293" s="1"/>
    </row>
    <row r="294" spans="2:5" x14ac:dyDescent="0.3">
      <c r="B294" s="52"/>
      <c r="C294" s="51"/>
      <c r="D294" s="1">
        <v>0</v>
      </c>
      <c r="E294" s="1"/>
    </row>
    <row r="295" spans="2:5" x14ac:dyDescent="0.3">
      <c r="B295" s="60" t="s">
        <v>40</v>
      </c>
      <c r="C295" s="51"/>
      <c r="D295" s="1">
        <v>0</v>
      </c>
      <c r="E295" s="1"/>
    </row>
    <row r="296" spans="2:5" x14ac:dyDescent="0.3">
      <c r="B296" s="52" t="s">
        <v>332</v>
      </c>
      <c r="C296" s="51"/>
      <c r="D296" s="30">
        <v>1654.87</v>
      </c>
      <c r="E296" s="1"/>
    </row>
    <row r="297" spans="2:5" ht="15.6" x14ac:dyDescent="0.3">
      <c r="B297" s="52" t="s">
        <v>333</v>
      </c>
      <c r="C297" s="51"/>
      <c r="D297" s="35">
        <v>17000</v>
      </c>
      <c r="E297" s="1"/>
    </row>
    <row r="298" spans="2:5" x14ac:dyDescent="0.3">
      <c r="B298" s="61" t="s">
        <v>47</v>
      </c>
      <c r="C298" s="51"/>
      <c r="D298" s="1">
        <v>0</v>
      </c>
      <c r="E298" s="1"/>
    </row>
    <row r="299" spans="2:5" x14ac:dyDescent="0.3">
      <c r="B299" s="52" t="s">
        <v>256</v>
      </c>
      <c r="C299" s="51"/>
      <c r="D299" s="27">
        <v>51967.23</v>
      </c>
      <c r="E299" s="1"/>
    </row>
    <row r="300" spans="2:5" x14ac:dyDescent="0.3">
      <c r="B300" s="52"/>
      <c r="C300" s="51"/>
      <c r="D300" s="1"/>
      <c r="E300" s="1"/>
    </row>
    <row r="301" spans="2:5" x14ac:dyDescent="0.3">
      <c r="B301" s="52"/>
      <c r="C301" s="51"/>
      <c r="D301" s="1">
        <v>0</v>
      </c>
      <c r="E301" s="1"/>
    </row>
    <row r="302" spans="2:5" x14ac:dyDescent="0.3">
      <c r="B302" s="56" t="s">
        <v>52</v>
      </c>
      <c r="C302" s="57"/>
      <c r="D302" s="1">
        <v>0</v>
      </c>
      <c r="E302" s="1"/>
    </row>
    <row r="303" spans="2:5" x14ac:dyDescent="0.3">
      <c r="B303" s="52" t="s">
        <v>53</v>
      </c>
      <c r="C303" s="51"/>
      <c r="D303" s="1"/>
      <c r="E303" s="1"/>
    </row>
    <row r="304" spans="2:5" x14ac:dyDescent="0.3">
      <c r="B304" s="52"/>
      <c r="C304" s="51"/>
      <c r="D304" s="1">
        <v>0</v>
      </c>
      <c r="E304" s="1"/>
    </row>
    <row r="305" spans="2:5" x14ac:dyDescent="0.3">
      <c r="B305" s="59" t="s">
        <v>42</v>
      </c>
      <c r="C305" s="51"/>
      <c r="D305" s="3">
        <f>SUM(D292:D304)</f>
        <v>70622.100000000006</v>
      </c>
      <c r="E305" s="1"/>
    </row>
    <row r="306" spans="2:5" x14ac:dyDescent="0.3">
      <c r="B306" s="14"/>
      <c r="C306" s="14"/>
      <c r="D306" s="14"/>
      <c r="E306" s="14"/>
    </row>
    <row r="307" spans="2:5" x14ac:dyDescent="0.3">
      <c r="B307" t="s">
        <v>11</v>
      </c>
    </row>
    <row r="308" spans="2:5" x14ac:dyDescent="0.3">
      <c r="B308" t="s">
        <v>12</v>
      </c>
      <c r="C308" t="s">
        <v>13</v>
      </c>
    </row>
    <row r="314" spans="2:5" ht="15.6" x14ac:dyDescent="0.3">
      <c r="C314" s="4" t="s">
        <v>6</v>
      </c>
      <c r="D314" s="4"/>
    </row>
    <row r="315" spans="2:5" x14ac:dyDescent="0.3">
      <c r="B315" s="5" t="s">
        <v>7</v>
      </c>
      <c r="C315" s="5"/>
      <c r="D315" s="5"/>
      <c r="E315" s="5"/>
    </row>
    <row r="316" spans="2:5" x14ac:dyDescent="0.3">
      <c r="B316" s="5"/>
      <c r="C316" s="5" t="s">
        <v>30</v>
      </c>
      <c r="D316" s="5"/>
      <c r="E316" s="5"/>
    </row>
    <row r="317" spans="2:5" x14ac:dyDescent="0.3">
      <c r="B317" t="s">
        <v>163</v>
      </c>
      <c r="C317" t="s">
        <v>176</v>
      </c>
      <c r="D317" s="6">
        <v>12</v>
      </c>
    </row>
    <row r="320" spans="2:5" ht="28.8" x14ac:dyDescent="0.3">
      <c r="B320" s="1" t="s">
        <v>0</v>
      </c>
      <c r="C320" s="2" t="s">
        <v>1</v>
      </c>
      <c r="D320" s="2" t="s">
        <v>2</v>
      </c>
      <c r="E320" s="2" t="s">
        <v>3</v>
      </c>
    </row>
    <row r="321" spans="2:5" x14ac:dyDescent="0.3">
      <c r="B321" s="3" t="s">
        <v>4</v>
      </c>
      <c r="C321" s="1">
        <v>18500.22</v>
      </c>
      <c r="D321" s="1">
        <v>15213.08</v>
      </c>
      <c r="E321" s="1">
        <v>8258.44</v>
      </c>
    </row>
    <row r="322" spans="2:5" x14ac:dyDescent="0.3">
      <c r="B322" s="49" t="s">
        <v>10</v>
      </c>
      <c r="C322" s="50"/>
      <c r="D322" s="51"/>
      <c r="E322" s="1">
        <f>C321-E321</f>
        <v>10241.780000000001</v>
      </c>
    </row>
    <row r="324" spans="2:5" ht="28.8" x14ac:dyDescent="0.3">
      <c r="B324" s="60" t="s">
        <v>37</v>
      </c>
      <c r="C324" s="51"/>
      <c r="D324" s="21" t="s">
        <v>41</v>
      </c>
      <c r="E324" s="3"/>
    </row>
    <row r="325" spans="2:5" x14ac:dyDescent="0.3">
      <c r="B325" s="60" t="s">
        <v>38</v>
      </c>
      <c r="C325" s="51"/>
      <c r="D325" s="1">
        <v>0</v>
      </c>
      <c r="E325" s="1"/>
    </row>
    <row r="326" spans="2:5" ht="15.6" x14ac:dyDescent="0.3">
      <c r="B326" s="52" t="s">
        <v>218</v>
      </c>
      <c r="C326" s="51"/>
      <c r="D326" s="34">
        <v>4214.72</v>
      </c>
      <c r="E326" s="1"/>
    </row>
    <row r="327" spans="2:5" x14ac:dyDescent="0.3">
      <c r="B327" s="52"/>
      <c r="C327" s="51"/>
      <c r="D327" s="1">
        <v>0</v>
      </c>
      <c r="E327" s="1"/>
    </row>
    <row r="328" spans="2:5" x14ac:dyDescent="0.3">
      <c r="B328" s="60" t="s">
        <v>40</v>
      </c>
      <c r="C328" s="51"/>
      <c r="D328" s="1">
        <v>0</v>
      </c>
      <c r="E328" s="1"/>
    </row>
    <row r="329" spans="2:5" x14ac:dyDescent="0.3">
      <c r="B329" s="52"/>
      <c r="C329" s="51"/>
      <c r="D329" s="1">
        <v>0</v>
      </c>
      <c r="E329" s="1"/>
    </row>
    <row r="330" spans="2:5" x14ac:dyDescent="0.3">
      <c r="B330" s="52"/>
      <c r="C330" s="51"/>
      <c r="D330" s="1">
        <v>0</v>
      </c>
      <c r="E330" s="1"/>
    </row>
    <row r="331" spans="2:5" x14ac:dyDescent="0.3">
      <c r="B331" s="61" t="s">
        <v>47</v>
      </c>
      <c r="C331" s="51"/>
      <c r="D331" s="1">
        <v>0</v>
      </c>
      <c r="E331" s="1"/>
    </row>
    <row r="332" spans="2:5" x14ac:dyDescent="0.3">
      <c r="B332" s="52"/>
      <c r="C332" s="51"/>
      <c r="D332" s="1">
        <v>0</v>
      </c>
      <c r="E332" s="1"/>
    </row>
    <row r="333" spans="2:5" x14ac:dyDescent="0.3">
      <c r="B333" s="52"/>
      <c r="C333" s="51"/>
      <c r="D333" s="1"/>
      <c r="E333" s="1"/>
    </row>
    <row r="334" spans="2:5" x14ac:dyDescent="0.3">
      <c r="B334" s="52"/>
      <c r="C334" s="51"/>
      <c r="D334" s="1">
        <v>0</v>
      </c>
      <c r="E334" s="1"/>
    </row>
    <row r="335" spans="2:5" x14ac:dyDescent="0.3">
      <c r="B335" s="56" t="s">
        <v>52</v>
      </c>
      <c r="C335" s="57"/>
      <c r="D335" s="1">
        <v>0</v>
      </c>
      <c r="E335" s="1"/>
    </row>
    <row r="336" spans="2:5" x14ac:dyDescent="0.3">
      <c r="B336" s="52" t="s">
        <v>53</v>
      </c>
      <c r="C336" s="51"/>
      <c r="D336" s="1">
        <f>940.4+2727.16+376.16</f>
        <v>4043.72</v>
      </c>
      <c r="E336" s="1"/>
    </row>
    <row r="337" spans="2:5" x14ac:dyDescent="0.3">
      <c r="B337" s="52"/>
      <c r="C337" s="51"/>
      <c r="D337" s="1">
        <v>0</v>
      </c>
      <c r="E337" s="1"/>
    </row>
    <row r="338" spans="2:5" x14ac:dyDescent="0.3">
      <c r="B338" s="59" t="s">
        <v>42</v>
      </c>
      <c r="C338" s="51"/>
      <c r="D338" s="3">
        <f>SUM(D325:D337)</f>
        <v>8258.44</v>
      </c>
      <c r="E338" s="1"/>
    </row>
    <row r="339" spans="2:5" x14ac:dyDescent="0.3">
      <c r="B339" s="14"/>
      <c r="C339" s="14"/>
      <c r="D339" s="14"/>
      <c r="E339" s="14"/>
    </row>
    <row r="340" spans="2:5" x14ac:dyDescent="0.3">
      <c r="B340" t="s">
        <v>11</v>
      </c>
    </row>
    <row r="341" spans="2:5" x14ac:dyDescent="0.3">
      <c r="B341" t="s">
        <v>12</v>
      </c>
      <c r="C341" t="s">
        <v>13</v>
      </c>
    </row>
    <row r="349" spans="2:5" ht="15.6" x14ac:dyDescent="0.3">
      <c r="C349" s="4" t="s">
        <v>6</v>
      </c>
      <c r="D349" s="4"/>
    </row>
    <row r="350" spans="2:5" x14ac:dyDescent="0.3">
      <c r="B350" s="5" t="s">
        <v>7</v>
      </c>
      <c r="C350" s="5"/>
      <c r="D350" s="5"/>
      <c r="E350" s="5"/>
    </row>
    <row r="351" spans="2:5" x14ac:dyDescent="0.3">
      <c r="B351" s="5"/>
      <c r="C351" s="5" t="s">
        <v>30</v>
      </c>
      <c r="D351" s="5"/>
      <c r="E351" s="5"/>
    </row>
    <row r="352" spans="2:5" x14ac:dyDescent="0.3">
      <c r="B352" t="s">
        <v>163</v>
      </c>
      <c r="C352" t="s">
        <v>176</v>
      </c>
      <c r="D352" s="6">
        <v>13</v>
      </c>
    </row>
    <row r="355" spans="2:5" ht="28.8" x14ac:dyDescent="0.3">
      <c r="B355" s="1" t="s">
        <v>0</v>
      </c>
      <c r="C355" s="2" t="s">
        <v>1</v>
      </c>
      <c r="D355" s="2" t="s">
        <v>2</v>
      </c>
      <c r="E355" s="2" t="s">
        <v>3</v>
      </c>
    </row>
    <row r="356" spans="2:5" x14ac:dyDescent="0.3">
      <c r="B356" s="3" t="s">
        <v>4</v>
      </c>
      <c r="C356" s="1">
        <v>18598.2</v>
      </c>
      <c r="D356" s="1">
        <v>15311.6</v>
      </c>
      <c r="E356" s="1">
        <v>376.16</v>
      </c>
    </row>
    <row r="357" spans="2:5" x14ac:dyDescent="0.3">
      <c r="B357" s="49" t="s">
        <v>10</v>
      </c>
      <c r="C357" s="50"/>
      <c r="D357" s="51"/>
      <c r="E357" s="1">
        <f>C356-E356</f>
        <v>18222.04</v>
      </c>
    </row>
    <row r="359" spans="2:5" ht="28.8" x14ac:dyDescent="0.3">
      <c r="B359" s="60" t="s">
        <v>37</v>
      </c>
      <c r="C359" s="51"/>
      <c r="D359" s="21" t="s">
        <v>41</v>
      </c>
      <c r="E359" s="3"/>
    </row>
    <row r="360" spans="2:5" x14ac:dyDescent="0.3">
      <c r="B360" s="60" t="s">
        <v>38</v>
      </c>
      <c r="C360" s="51"/>
      <c r="D360" s="1">
        <v>0</v>
      </c>
      <c r="E360" s="1"/>
    </row>
    <row r="361" spans="2:5" x14ac:dyDescent="0.3">
      <c r="B361" s="52"/>
      <c r="C361" s="51"/>
      <c r="D361" s="1">
        <v>0</v>
      </c>
      <c r="E361" s="1"/>
    </row>
    <row r="362" spans="2:5" x14ac:dyDescent="0.3">
      <c r="B362" s="52"/>
      <c r="C362" s="51"/>
      <c r="D362" s="1">
        <v>0</v>
      </c>
      <c r="E362" s="1"/>
    </row>
    <row r="363" spans="2:5" x14ac:dyDescent="0.3">
      <c r="B363" s="60" t="s">
        <v>40</v>
      </c>
      <c r="C363" s="51"/>
      <c r="D363" s="1">
        <v>0</v>
      </c>
      <c r="E363" s="1"/>
    </row>
    <row r="364" spans="2:5" x14ac:dyDescent="0.3">
      <c r="B364" s="52"/>
      <c r="C364" s="51"/>
      <c r="D364" s="1">
        <v>0</v>
      </c>
      <c r="E364" s="1"/>
    </row>
    <row r="365" spans="2:5" x14ac:dyDescent="0.3">
      <c r="B365" s="52"/>
      <c r="C365" s="51"/>
      <c r="D365" s="1">
        <v>0</v>
      </c>
      <c r="E365" s="1"/>
    </row>
    <row r="366" spans="2:5" x14ac:dyDescent="0.3">
      <c r="B366" s="61" t="s">
        <v>47</v>
      </c>
      <c r="C366" s="51"/>
      <c r="D366" s="1">
        <v>0</v>
      </c>
      <c r="E366" s="1"/>
    </row>
    <row r="367" spans="2:5" x14ac:dyDescent="0.3">
      <c r="B367" s="52"/>
      <c r="C367" s="51"/>
      <c r="D367" s="1">
        <v>0</v>
      </c>
      <c r="E367" s="1"/>
    </row>
    <row r="368" spans="2:5" x14ac:dyDescent="0.3">
      <c r="B368" s="52"/>
      <c r="C368" s="51"/>
      <c r="D368" s="1"/>
      <c r="E368" s="1"/>
    </row>
    <row r="369" spans="2:5" x14ac:dyDescent="0.3">
      <c r="B369" s="52"/>
      <c r="C369" s="51"/>
      <c r="D369" s="1">
        <v>0</v>
      </c>
      <c r="E369" s="1"/>
    </row>
    <row r="370" spans="2:5" x14ac:dyDescent="0.3">
      <c r="B370" s="56" t="s">
        <v>52</v>
      </c>
      <c r="C370" s="57"/>
      <c r="D370" s="1">
        <v>0</v>
      </c>
      <c r="E370" s="1"/>
    </row>
    <row r="371" spans="2:5" ht="15.6" x14ac:dyDescent="0.3">
      <c r="B371" s="52" t="s">
        <v>53</v>
      </c>
      <c r="C371" s="51"/>
      <c r="D371" s="34">
        <v>376.16</v>
      </c>
      <c r="E371" s="1"/>
    </row>
    <row r="372" spans="2:5" x14ac:dyDescent="0.3">
      <c r="B372" s="52"/>
      <c r="C372" s="51"/>
      <c r="D372" s="1">
        <v>0</v>
      </c>
      <c r="E372" s="1"/>
    </row>
    <row r="373" spans="2:5" x14ac:dyDescent="0.3">
      <c r="B373" s="59" t="s">
        <v>42</v>
      </c>
      <c r="C373" s="51"/>
      <c r="D373" s="3">
        <f>SUM(D360:D372)</f>
        <v>376.16</v>
      </c>
      <c r="E373" s="1"/>
    </row>
    <row r="374" spans="2:5" x14ac:dyDescent="0.3">
      <c r="B374" s="14"/>
      <c r="C374" s="14"/>
      <c r="D374" s="14"/>
      <c r="E374" s="14"/>
    </row>
    <row r="375" spans="2:5" x14ac:dyDescent="0.3">
      <c r="B375" t="s">
        <v>11</v>
      </c>
    </row>
    <row r="376" spans="2:5" x14ac:dyDescent="0.3">
      <c r="B376" t="s">
        <v>12</v>
      </c>
      <c r="C376" t="s">
        <v>13</v>
      </c>
    </row>
    <row r="381" spans="2:5" ht="15.6" x14ac:dyDescent="0.3">
      <c r="C381" s="4" t="s">
        <v>6</v>
      </c>
      <c r="D381" s="4"/>
    </row>
    <row r="382" spans="2:5" x14ac:dyDescent="0.3">
      <c r="B382" s="5" t="s">
        <v>7</v>
      </c>
      <c r="C382" s="5"/>
      <c r="D382" s="5"/>
      <c r="E382" s="5"/>
    </row>
    <row r="383" spans="2:5" x14ac:dyDescent="0.3">
      <c r="B383" s="5"/>
      <c r="C383" s="5" t="s">
        <v>30</v>
      </c>
      <c r="D383" s="5"/>
      <c r="E383" s="5"/>
    </row>
    <row r="384" spans="2:5" x14ac:dyDescent="0.3">
      <c r="B384" t="s">
        <v>163</v>
      </c>
      <c r="C384" t="s">
        <v>176</v>
      </c>
      <c r="D384" s="6">
        <v>14</v>
      </c>
    </row>
    <row r="387" spans="2:5" ht="28.8" x14ac:dyDescent="0.3">
      <c r="B387" s="1" t="s">
        <v>0</v>
      </c>
      <c r="C387" s="2" t="s">
        <v>1</v>
      </c>
      <c r="D387" s="2" t="s">
        <v>2</v>
      </c>
      <c r="E387" s="2" t="s">
        <v>3</v>
      </c>
    </row>
    <row r="388" spans="2:5" x14ac:dyDescent="0.3">
      <c r="B388" s="3" t="s">
        <v>4</v>
      </c>
      <c r="C388" s="1">
        <v>27269.94</v>
      </c>
      <c r="D388" s="1">
        <v>21687.85</v>
      </c>
      <c r="E388" s="1">
        <v>20677.8</v>
      </c>
    </row>
    <row r="389" spans="2:5" x14ac:dyDescent="0.3">
      <c r="B389" s="49" t="s">
        <v>10</v>
      </c>
      <c r="C389" s="50"/>
      <c r="D389" s="51"/>
      <c r="E389" s="1">
        <f>C388-E388</f>
        <v>6592.1399999999994</v>
      </c>
    </row>
    <row r="391" spans="2:5" ht="28.8" x14ac:dyDescent="0.3">
      <c r="B391" s="60" t="s">
        <v>37</v>
      </c>
      <c r="C391" s="51"/>
      <c r="D391" s="21" t="s">
        <v>41</v>
      </c>
      <c r="E391" s="3"/>
    </row>
    <row r="392" spans="2:5" x14ac:dyDescent="0.3">
      <c r="B392" s="60" t="s">
        <v>38</v>
      </c>
      <c r="C392" s="51"/>
      <c r="D392" s="1">
        <v>0</v>
      </c>
      <c r="E392" s="1"/>
    </row>
    <row r="393" spans="2:5" ht="15.6" x14ac:dyDescent="0.3">
      <c r="B393" s="52" t="s">
        <v>194</v>
      </c>
      <c r="C393" s="51"/>
      <c r="D393" s="34">
        <v>1675.48</v>
      </c>
      <c r="E393" s="1"/>
    </row>
    <row r="394" spans="2:5" ht="15.6" x14ac:dyDescent="0.3">
      <c r="B394" s="52" t="s">
        <v>334</v>
      </c>
      <c r="C394" s="51"/>
      <c r="D394" s="32">
        <v>17873.84</v>
      </c>
      <c r="E394" s="1"/>
    </row>
    <row r="395" spans="2:5" x14ac:dyDescent="0.3">
      <c r="B395" s="60" t="s">
        <v>40</v>
      </c>
      <c r="C395" s="51"/>
      <c r="D395" s="1">
        <v>0</v>
      </c>
      <c r="E395" s="1"/>
    </row>
    <row r="396" spans="2:5" x14ac:dyDescent="0.3">
      <c r="B396" s="52"/>
      <c r="C396" s="51"/>
      <c r="D396" s="1">
        <v>0</v>
      </c>
      <c r="E396" s="1"/>
    </row>
    <row r="397" spans="2:5" x14ac:dyDescent="0.3">
      <c r="B397" s="52"/>
      <c r="C397" s="51"/>
      <c r="D397" s="1">
        <v>0</v>
      </c>
      <c r="E397" s="1"/>
    </row>
    <row r="398" spans="2:5" x14ac:dyDescent="0.3">
      <c r="B398" s="61" t="s">
        <v>47</v>
      </c>
      <c r="C398" s="51"/>
      <c r="D398" s="1">
        <v>0</v>
      </c>
      <c r="E398" s="1"/>
    </row>
    <row r="399" spans="2:5" x14ac:dyDescent="0.3">
      <c r="B399" s="52"/>
      <c r="C399" s="51"/>
      <c r="D399" s="1">
        <v>0</v>
      </c>
      <c r="E399" s="1"/>
    </row>
    <row r="400" spans="2:5" x14ac:dyDescent="0.3">
      <c r="B400" s="52"/>
      <c r="C400" s="51"/>
      <c r="D400" s="1"/>
      <c r="E400" s="1"/>
    </row>
    <row r="401" spans="2:5" x14ac:dyDescent="0.3">
      <c r="B401" s="52"/>
      <c r="C401" s="51"/>
      <c r="D401" s="1">
        <v>0</v>
      </c>
      <c r="E401" s="1"/>
    </row>
    <row r="402" spans="2:5" x14ac:dyDescent="0.3">
      <c r="B402" s="56" t="s">
        <v>52</v>
      </c>
      <c r="C402" s="57"/>
      <c r="D402" s="1">
        <v>0</v>
      </c>
      <c r="E402" s="1"/>
    </row>
    <row r="403" spans="2:5" ht="15.6" x14ac:dyDescent="0.3">
      <c r="B403" s="52" t="s">
        <v>53</v>
      </c>
      <c r="C403" s="51"/>
      <c r="D403" s="34">
        <v>1128.48</v>
      </c>
      <c r="E403" s="1"/>
    </row>
    <row r="404" spans="2:5" x14ac:dyDescent="0.3">
      <c r="B404" s="52"/>
      <c r="C404" s="51"/>
      <c r="D404" s="1">
        <v>0</v>
      </c>
      <c r="E404" s="1"/>
    </row>
    <row r="405" spans="2:5" x14ac:dyDescent="0.3">
      <c r="B405" s="59" t="s">
        <v>42</v>
      </c>
      <c r="C405" s="51"/>
      <c r="D405" s="3">
        <f>SUM(D392:D404)</f>
        <v>20677.8</v>
      </c>
      <c r="E405" s="1"/>
    </row>
    <row r="406" spans="2:5" x14ac:dyDescent="0.3">
      <c r="B406" s="14"/>
      <c r="C406" s="14"/>
      <c r="D406" s="14"/>
      <c r="E406" s="14"/>
    </row>
    <row r="407" spans="2:5" x14ac:dyDescent="0.3">
      <c r="B407" t="s">
        <v>11</v>
      </c>
    </row>
    <row r="408" spans="2:5" x14ac:dyDescent="0.3">
      <c r="B408" t="s">
        <v>12</v>
      </c>
      <c r="C408" t="s">
        <v>13</v>
      </c>
    </row>
    <row r="415" spans="2:5" ht="15.6" x14ac:dyDescent="0.3">
      <c r="C415" s="4" t="s">
        <v>6</v>
      </c>
      <c r="D415" s="4"/>
    </row>
    <row r="416" spans="2:5" x14ac:dyDescent="0.3">
      <c r="B416" s="5" t="s">
        <v>7</v>
      </c>
      <c r="C416" s="5"/>
      <c r="D416" s="5"/>
      <c r="E416" s="5"/>
    </row>
    <row r="417" spans="2:5" x14ac:dyDescent="0.3">
      <c r="B417" s="5"/>
      <c r="C417" s="5" t="s">
        <v>30</v>
      </c>
      <c r="D417" s="5"/>
      <c r="E417" s="5"/>
    </row>
    <row r="418" spans="2:5" x14ac:dyDescent="0.3">
      <c r="B418" t="s">
        <v>163</v>
      </c>
      <c r="C418" t="s">
        <v>176</v>
      </c>
      <c r="D418" s="6">
        <v>15</v>
      </c>
    </row>
    <row r="421" spans="2:5" ht="28.8" x14ac:dyDescent="0.3">
      <c r="B421" s="1" t="s">
        <v>0</v>
      </c>
      <c r="C421" s="2" t="s">
        <v>1</v>
      </c>
      <c r="D421" s="2" t="s">
        <v>2</v>
      </c>
      <c r="E421" s="2" t="s">
        <v>3</v>
      </c>
    </row>
    <row r="422" spans="2:5" x14ac:dyDescent="0.3">
      <c r="B422" s="3" t="s">
        <v>4</v>
      </c>
      <c r="C422" s="1">
        <v>14587.92</v>
      </c>
      <c r="D422" s="1">
        <v>13334.91</v>
      </c>
      <c r="E422" s="1">
        <v>12937.65</v>
      </c>
    </row>
    <row r="423" spans="2:5" x14ac:dyDescent="0.3">
      <c r="B423" s="49" t="s">
        <v>10</v>
      </c>
      <c r="C423" s="50"/>
      <c r="D423" s="51"/>
      <c r="E423" s="1">
        <f>C422-E422</f>
        <v>1650.2700000000004</v>
      </c>
    </row>
    <row r="425" spans="2:5" ht="28.8" x14ac:dyDescent="0.3">
      <c r="B425" s="60" t="s">
        <v>37</v>
      </c>
      <c r="C425" s="51"/>
      <c r="D425" s="21" t="s">
        <v>41</v>
      </c>
      <c r="E425" s="3"/>
    </row>
    <row r="426" spans="2:5" x14ac:dyDescent="0.3">
      <c r="B426" s="60" t="s">
        <v>38</v>
      </c>
      <c r="C426" s="51"/>
      <c r="D426" s="1">
        <v>0</v>
      </c>
      <c r="E426" s="1"/>
    </row>
    <row r="427" spans="2:5" x14ac:dyDescent="0.3">
      <c r="B427" s="52"/>
      <c r="C427" s="51"/>
      <c r="D427" s="1">
        <v>0</v>
      </c>
      <c r="E427" s="1"/>
    </row>
    <row r="428" spans="2:5" x14ac:dyDescent="0.3">
      <c r="B428" s="52"/>
      <c r="C428" s="51"/>
      <c r="D428" s="1">
        <v>0</v>
      </c>
      <c r="E428" s="1"/>
    </row>
    <row r="429" spans="2:5" x14ac:dyDescent="0.3">
      <c r="B429" s="60" t="s">
        <v>40</v>
      </c>
      <c r="C429" s="51"/>
      <c r="D429" s="1">
        <v>0</v>
      </c>
      <c r="E429" s="1"/>
    </row>
    <row r="430" spans="2:5" ht="15.6" x14ac:dyDescent="0.3">
      <c r="B430" s="52" t="s">
        <v>202</v>
      </c>
      <c r="C430" s="51"/>
      <c r="D430" s="34">
        <f>[1]май!$G$36/3</f>
        <v>1504.2299999999998</v>
      </c>
      <c r="E430" s="1"/>
    </row>
    <row r="431" spans="2:5" ht="15.6" x14ac:dyDescent="0.3">
      <c r="B431" s="52" t="s">
        <v>195</v>
      </c>
      <c r="C431" s="51"/>
      <c r="D431" s="34">
        <v>607.36</v>
      </c>
      <c r="E431" s="1"/>
    </row>
    <row r="432" spans="2:5" x14ac:dyDescent="0.3">
      <c r="B432" s="61" t="s">
        <v>47</v>
      </c>
      <c r="C432" s="51"/>
      <c r="D432" s="1">
        <v>0</v>
      </c>
      <c r="E432" s="1"/>
    </row>
    <row r="433" spans="2:5" x14ac:dyDescent="0.3">
      <c r="B433" s="52"/>
      <c r="C433" s="51"/>
      <c r="D433" s="1">
        <v>0</v>
      </c>
      <c r="E433" s="1"/>
    </row>
    <row r="434" spans="2:5" x14ac:dyDescent="0.3">
      <c r="B434" s="52"/>
      <c r="C434" s="51"/>
      <c r="D434" s="1"/>
      <c r="E434" s="1"/>
    </row>
    <row r="435" spans="2:5" x14ac:dyDescent="0.3">
      <c r="B435" s="52"/>
      <c r="C435" s="51"/>
      <c r="D435" s="1">
        <v>0</v>
      </c>
      <c r="E435" s="1"/>
    </row>
    <row r="436" spans="2:5" x14ac:dyDescent="0.3">
      <c r="B436" s="56" t="s">
        <v>52</v>
      </c>
      <c r="C436" s="57"/>
      <c r="D436" s="1">
        <v>0</v>
      </c>
      <c r="E436" s="1"/>
    </row>
    <row r="437" spans="2:5" x14ac:dyDescent="0.3">
      <c r="B437" s="52" t="s">
        <v>53</v>
      </c>
      <c r="C437" s="51"/>
      <c r="D437" s="1"/>
      <c r="E437" s="1"/>
    </row>
    <row r="438" spans="2:5" ht="15.6" x14ac:dyDescent="0.3">
      <c r="B438" s="52" t="s">
        <v>335</v>
      </c>
      <c r="C438" s="51"/>
      <c r="D438" s="34">
        <v>10826.06</v>
      </c>
      <c r="E438" s="1"/>
    </row>
    <row r="439" spans="2:5" x14ac:dyDescent="0.3">
      <c r="B439" s="59" t="s">
        <v>42</v>
      </c>
      <c r="C439" s="51"/>
      <c r="D439" s="3">
        <f>SUM(D426:D438)</f>
        <v>12937.65</v>
      </c>
      <c r="E439" s="1"/>
    </row>
    <row r="440" spans="2:5" x14ac:dyDescent="0.3">
      <c r="B440" s="14"/>
      <c r="C440" s="14"/>
      <c r="D440" s="14"/>
      <c r="E440" s="14"/>
    </row>
    <row r="441" spans="2:5" x14ac:dyDescent="0.3">
      <c r="B441" t="s">
        <v>11</v>
      </c>
    </row>
    <row r="442" spans="2:5" x14ac:dyDescent="0.3">
      <c r="B442" t="s">
        <v>12</v>
      </c>
      <c r="C442" t="s">
        <v>13</v>
      </c>
    </row>
    <row r="449" spans="2:5" ht="15.6" x14ac:dyDescent="0.3">
      <c r="C449" s="4" t="s">
        <v>6</v>
      </c>
      <c r="D449" s="4"/>
    </row>
    <row r="450" spans="2:5" x14ac:dyDescent="0.3">
      <c r="B450" s="5" t="s">
        <v>7</v>
      </c>
      <c r="C450" s="5"/>
      <c r="D450" s="5"/>
      <c r="E450" s="5"/>
    </row>
    <row r="451" spans="2:5" x14ac:dyDescent="0.3">
      <c r="B451" s="5"/>
      <c r="C451" s="5" t="s">
        <v>30</v>
      </c>
      <c r="D451" s="5"/>
      <c r="E451" s="5"/>
    </row>
    <row r="452" spans="2:5" x14ac:dyDescent="0.3">
      <c r="B452" t="s">
        <v>163</v>
      </c>
      <c r="C452" t="s">
        <v>176</v>
      </c>
      <c r="D452" s="6">
        <v>16</v>
      </c>
    </row>
    <row r="455" spans="2:5" ht="28.8" x14ac:dyDescent="0.3">
      <c r="B455" s="1" t="s">
        <v>0</v>
      </c>
      <c r="C455" s="2" t="s">
        <v>1</v>
      </c>
      <c r="D455" s="2" t="s">
        <v>2</v>
      </c>
      <c r="E455" s="2" t="s">
        <v>3</v>
      </c>
    </row>
    <row r="456" spans="2:5" x14ac:dyDescent="0.3">
      <c r="B456" s="3" t="s">
        <v>4</v>
      </c>
      <c r="C456" s="1">
        <v>14957.1</v>
      </c>
      <c r="D456" s="1">
        <v>14450.05</v>
      </c>
      <c r="E456" s="1">
        <v>27992.82</v>
      </c>
    </row>
    <row r="457" spans="2:5" x14ac:dyDescent="0.3">
      <c r="B457" s="49" t="s">
        <v>10</v>
      </c>
      <c r="C457" s="50"/>
      <c r="D457" s="51"/>
      <c r="E457" s="1">
        <f>C456-E456</f>
        <v>-13035.72</v>
      </c>
    </row>
    <row r="459" spans="2:5" ht="28.8" x14ac:dyDescent="0.3">
      <c r="B459" s="60" t="s">
        <v>37</v>
      </c>
      <c r="C459" s="51"/>
      <c r="D459" s="21" t="s">
        <v>41</v>
      </c>
      <c r="E459" s="3"/>
    </row>
    <row r="460" spans="2:5" x14ac:dyDescent="0.3">
      <c r="B460" s="60" t="s">
        <v>38</v>
      </c>
      <c r="C460" s="51"/>
      <c r="D460" s="1">
        <v>0</v>
      </c>
      <c r="E460" s="1"/>
    </row>
    <row r="461" spans="2:5" ht="15.6" x14ac:dyDescent="0.3">
      <c r="B461" s="52" t="s">
        <v>338</v>
      </c>
      <c r="C461" s="51"/>
      <c r="D461" s="32">
        <v>10759.51</v>
      </c>
      <c r="E461" s="1"/>
    </row>
    <row r="462" spans="2:5" x14ac:dyDescent="0.3">
      <c r="B462" s="52"/>
      <c r="C462" s="51"/>
      <c r="D462" s="1">
        <v>0</v>
      </c>
      <c r="E462" s="1"/>
    </row>
    <row r="463" spans="2:5" x14ac:dyDescent="0.3">
      <c r="B463" s="60" t="s">
        <v>40</v>
      </c>
      <c r="C463" s="51"/>
      <c r="D463" s="1">
        <v>0</v>
      </c>
      <c r="E463" s="1"/>
    </row>
    <row r="464" spans="2:5" x14ac:dyDescent="0.3">
      <c r="B464" s="52" t="s">
        <v>336</v>
      </c>
      <c r="C464" s="51"/>
      <c r="D464" s="27">
        <v>11435.25</v>
      </c>
      <c r="E464" s="1"/>
    </row>
    <row r="465" spans="2:5" x14ac:dyDescent="0.3">
      <c r="B465" s="52" t="s">
        <v>337</v>
      </c>
      <c r="C465" s="51"/>
      <c r="D465" s="27">
        <v>5149.62</v>
      </c>
      <c r="E465" s="1"/>
    </row>
    <row r="466" spans="2:5" ht="15.6" x14ac:dyDescent="0.3">
      <c r="B466" s="72" t="s">
        <v>195</v>
      </c>
      <c r="C466" s="51"/>
      <c r="D466" s="32">
        <v>648.44000000000005</v>
      </c>
      <c r="E466" s="1"/>
    </row>
    <row r="467" spans="2:5" x14ac:dyDescent="0.3">
      <c r="B467" s="61" t="s">
        <v>47</v>
      </c>
      <c r="C467" s="51"/>
      <c r="D467" s="1">
        <v>0</v>
      </c>
      <c r="E467" s="1"/>
    </row>
    <row r="468" spans="2:5" x14ac:dyDescent="0.3">
      <c r="B468" s="52"/>
      <c r="C468" s="51"/>
      <c r="D468" s="1">
        <v>0</v>
      </c>
      <c r="E468" s="1"/>
    </row>
    <row r="469" spans="2:5" x14ac:dyDescent="0.3">
      <c r="B469" s="52"/>
      <c r="C469" s="51"/>
      <c r="D469" s="1"/>
      <c r="E469" s="1"/>
    </row>
    <row r="470" spans="2:5" x14ac:dyDescent="0.3">
      <c r="B470" s="52"/>
      <c r="C470" s="51"/>
      <c r="D470" s="1">
        <v>0</v>
      </c>
      <c r="E470" s="1"/>
    </row>
    <row r="471" spans="2:5" x14ac:dyDescent="0.3">
      <c r="B471" s="56" t="s">
        <v>52</v>
      </c>
      <c r="C471" s="57"/>
      <c r="D471" s="1">
        <v>0</v>
      </c>
      <c r="E471" s="1"/>
    </row>
    <row r="472" spans="2:5" x14ac:dyDescent="0.3">
      <c r="B472" s="52" t="s">
        <v>53</v>
      </c>
      <c r="C472" s="51"/>
      <c r="D472" s="1"/>
      <c r="E472" s="1"/>
    </row>
    <row r="473" spans="2:5" x14ac:dyDescent="0.3">
      <c r="B473" s="52"/>
      <c r="C473" s="51"/>
      <c r="D473" s="1">
        <v>0</v>
      </c>
      <c r="E473" s="1"/>
    </row>
    <row r="474" spans="2:5" x14ac:dyDescent="0.3">
      <c r="B474" s="59" t="s">
        <v>42</v>
      </c>
      <c r="C474" s="51"/>
      <c r="D474" s="3">
        <f>SUM(D460:D473)</f>
        <v>27992.82</v>
      </c>
      <c r="E474" s="1"/>
    </row>
    <row r="475" spans="2:5" x14ac:dyDescent="0.3">
      <c r="B475" s="14"/>
      <c r="C475" s="14"/>
      <c r="D475" s="14"/>
      <c r="E475" s="14"/>
    </row>
    <row r="476" spans="2:5" x14ac:dyDescent="0.3">
      <c r="B476" t="s">
        <v>11</v>
      </c>
    </row>
    <row r="477" spans="2:5" x14ac:dyDescent="0.3">
      <c r="B477" t="s">
        <v>12</v>
      </c>
      <c r="C477" t="s">
        <v>13</v>
      </c>
    </row>
    <row r="484" spans="2:5" ht="15.6" x14ac:dyDescent="0.3">
      <c r="C484" s="4" t="s">
        <v>6</v>
      </c>
      <c r="D484" s="4"/>
    </row>
    <row r="485" spans="2:5" x14ac:dyDescent="0.3">
      <c r="B485" s="5" t="s">
        <v>7</v>
      </c>
      <c r="C485" s="5"/>
      <c r="D485" s="5"/>
      <c r="E485" s="5"/>
    </row>
    <row r="486" spans="2:5" x14ac:dyDescent="0.3">
      <c r="B486" s="5"/>
      <c r="C486" s="5" t="s">
        <v>30</v>
      </c>
      <c r="D486" s="5"/>
      <c r="E486" s="5"/>
    </row>
    <row r="487" spans="2:5" x14ac:dyDescent="0.3">
      <c r="B487" t="s">
        <v>163</v>
      </c>
      <c r="C487" t="s">
        <v>176</v>
      </c>
      <c r="D487" s="6">
        <v>17</v>
      </c>
    </row>
    <row r="490" spans="2:5" ht="28.8" x14ac:dyDescent="0.3">
      <c r="B490" s="1" t="s">
        <v>0</v>
      </c>
      <c r="C490" s="2" t="s">
        <v>1</v>
      </c>
      <c r="D490" s="2" t="s">
        <v>2</v>
      </c>
      <c r="E490" s="2" t="s">
        <v>3</v>
      </c>
    </row>
    <row r="491" spans="2:5" x14ac:dyDescent="0.3">
      <c r="B491" s="3" t="s">
        <v>4</v>
      </c>
      <c r="C491" s="1">
        <v>14777.88</v>
      </c>
      <c r="D491" s="1">
        <v>13008.68</v>
      </c>
      <c r="E491" s="1">
        <v>5293.17</v>
      </c>
    </row>
    <row r="492" spans="2:5" x14ac:dyDescent="0.3">
      <c r="B492" s="49" t="s">
        <v>10</v>
      </c>
      <c r="C492" s="50"/>
      <c r="D492" s="51"/>
      <c r="E492" s="1">
        <f>C491-E491</f>
        <v>9484.7099999999991</v>
      </c>
    </row>
    <row r="494" spans="2:5" ht="28.8" x14ac:dyDescent="0.3">
      <c r="B494" s="60" t="s">
        <v>37</v>
      </c>
      <c r="C494" s="51"/>
      <c r="D494" s="21" t="s">
        <v>41</v>
      </c>
      <c r="E494" s="3"/>
    </row>
    <row r="495" spans="2:5" x14ac:dyDescent="0.3">
      <c r="B495" s="60" t="s">
        <v>38</v>
      </c>
      <c r="C495" s="51"/>
      <c r="D495" s="1">
        <v>0</v>
      </c>
      <c r="E495" s="1"/>
    </row>
    <row r="496" spans="2:5" x14ac:dyDescent="0.3">
      <c r="B496" s="52"/>
      <c r="C496" s="51"/>
      <c r="D496" s="1">
        <v>0</v>
      </c>
      <c r="E496" s="1"/>
    </row>
    <row r="497" spans="2:5" x14ac:dyDescent="0.3">
      <c r="B497" s="52"/>
      <c r="C497" s="51"/>
      <c r="D497" s="1">
        <v>0</v>
      </c>
      <c r="E497" s="1"/>
    </row>
    <row r="498" spans="2:5" x14ac:dyDescent="0.3">
      <c r="B498" s="60" t="s">
        <v>40</v>
      </c>
      <c r="C498" s="51"/>
      <c r="D498" s="1">
        <v>0</v>
      </c>
      <c r="E498" s="1"/>
    </row>
    <row r="499" spans="2:5" x14ac:dyDescent="0.3">
      <c r="B499" s="52" t="s">
        <v>339</v>
      </c>
      <c r="C499" s="51"/>
      <c r="D499" s="1">
        <f>165.26+204.58</f>
        <v>369.84000000000003</v>
      </c>
      <c r="E499" s="1"/>
    </row>
    <row r="500" spans="2:5" x14ac:dyDescent="0.3">
      <c r="B500" s="52" t="s">
        <v>340</v>
      </c>
      <c r="C500" s="51"/>
      <c r="D500" s="27">
        <v>655.36</v>
      </c>
      <c r="E500" s="1"/>
    </row>
    <row r="501" spans="2:5" x14ac:dyDescent="0.3">
      <c r="B501" s="61" t="s">
        <v>47</v>
      </c>
      <c r="C501" s="51"/>
      <c r="D501" s="1">
        <v>0</v>
      </c>
      <c r="E501" s="1"/>
    </row>
    <row r="502" spans="2:5" x14ac:dyDescent="0.3">
      <c r="B502" s="52"/>
      <c r="C502" s="51"/>
      <c r="D502" s="1">
        <v>0</v>
      </c>
      <c r="E502" s="1"/>
    </row>
    <row r="503" spans="2:5" x14ac:dyDescent="0.3">
      <c r="B503" s="52"/>
      <c r="C503" s="51"/>
      <c r="D503" s="1"/>
      <c r="E503" s="1"/>
    </row>
    <row r="504" spans="2:5" x14ac:dyDescent="0.3">
      <c r="B504" s="52"/>
      <c r="C504" s="51"/>
      <c r="D504" s="1">
        <v>0</v>
      </c>
      <c r="E504" s="1"/>
    </row>
    <row r="505" spans="2:5" x14ac:dyDescent="0.3">
      <c r="B505" s="56" t="s">
        <v>52</v>
      </c>
      <c r="C505" s="57"/>
      <c r="D505" s="1">
        <v>0</v>
      </c>
      <c r="E505" s="1"/>
    </row>
    <row r="506" spans="2:5" x14ac:dyDescent="0.3">
      <c r="B506" s="52" t="s">
        <v>53</v>
      </c>
      <c r="C506" s="51"/>
      <c r="D506" s="1"/>
      <c r="E506" s="1"/>
    </row>
    <row r="507" spans="2:5" x14ac:dyDescent="0.3">
      <c r="B507" s="52" t="s">
        <v>341</v>
      </c>
      <c r="C507" s="51"/>
      <c r="D507" s="27">
        <v>4267.97</v>
      </c>
      <c r="E507" s="1"/>
    </row>
    <row r="508" spans="2:5" x14ac:dyDescent="0.3">
      <c r="B508" s="59" t="s">
        <v>42</v>
      </c>
      <c r="C508" s="51"/>
      <c r="D508" s="3">
        <f>SUM(D495:D507)</f>
        <v>5293.17</v>
      </c>
      <c r="E508" s="1"/>
    </row>
    <row r="509" spans="2:5" x14ac:dyDescent="0.3">
      <c r="B509" s="14"/>
      <c r="C509" s="14"/>
      <c r="D509" s="14"/>
      <c r="E509" s="14"/>
    </row>
    <row r="510" spans="2:5" x14ac:dyDescent="0.3">
      <c r="B510" t="s">
        <v>11</v>
      </c>
    </row>
    <row r="511" spans="2:5" x14ac:dyDescent="0.3">
      <c r="B511" t="s">
        <v>12</v>
      </c>
      <c r="C511" t="s">
        <v>13</v>
      </c>
    </row>
    <row r="518" spans="2:5" ht="15.6" x14ac:dyDescent="0.3">
      <c r="C518" s="4" t="s">
        <v>6</v>
      </c>
      <c r="D518" s="4"/>
    </row>
    <row r="519" spans="2:5" x14ac:dyDescent="0.3">
      <c r="B519" s="5" t="s">
        <v>7</v>
      </c>
      <c r="C519" s="5"/>
      <c r="D519" s="5"/>
      <c r="E519" s="5"/>
    </row>
    <row r="520" spans="2:5" x14ac:dyDescent="0.3">
      <c r="B520" s="5"/>
      <c r="C520" s="5" t="s">
        <v>30</v>
      </c>
      <c r="D520" s="5"/>
      <c r="E520" s="5"/>
    </row>
    <row r="521" spans="2:5" x14ac:dyDescent="0.3">
      <c r="B521" t="s">
        <v>163</v>
      </c>
      <c r="C521" t="s">
        <v>176</v>
      </c>
      <c r="D521" s="6">
        <v>18</v>
      </c>
    </row>
    <row r="524" spans="2:5" ht="28.8" x14ac:dyDescent="0.3">
      <c r="B524" s="1" t="s">
        <v>0</v>
      </c>
      <c r="C524" s="2" t="s">
        <v>1</v>
      </c>
      <c r="D524" s="2" t="s">
        <v>2</v>
      </c>
      <c r="E524" s="2" t="s">
        <v>3</v>
      </c>
    </row>
    <row r="525" spans="2:5" x14ac:dyDescent="0.3">
      <c r="B525" s="3" t="s">
        <v>4</v>
      </c>
      <c r="C525" s="1">
        <v>14382.24</v>
      </c>
      <c r="D525" s="1">
        <v>11861.9</v>
      </c>
      <c r="E525" s="1">
        <v>23890.560000000001</v>
      </c>
    </row>
    <row r="526" spans="2:5" x14ac:dyDescent="0.3">
      <c r="B526" s="49" t="s">
        <v>10</v>
      </c>
      <c r="C526" s="50"/>
      <c r="D526" s="51"/>
      <c r="E526" s="1">
        <f>C525-E525</f>
        <v>-9508.3200000000015</v>
      </c>
    </row>
    <row r="528" spans="2:5" ht="28.8" x14ac:dyDescent="0.3">
      <c r="B528" s="60" t="s">
        <v>37</v>
      </c>
      <c r="C528" s="51"/>
      <c r="D528" s="21" t="s">
        <v>41</v>
      </c>
      <c r="E528" s="3"/>
    </row>
    <row r="529" spans="2:5" x14ac:dyDescent="0.3">
      <c r="B529" s="60" t="s">
        <v>38</v>
      </c>
      <c r="C529" s="51"/>
      <c r="D529" s="1">
        <v>0</v>
      </c>
      <c r="E529" s="1"/>
    </row>
    <row r="530" spans="2:5" ht="15.6" x14ac:dyDescent="0.3">
      <c r="B530" s="52" t="s">
        <v>218</v>
      </c>
      <c r="C530" s="51"/>
      <c r="D530" s="34">
        <v>4214.72</v>
      </c>
      <c r="E530" s="1"/>
    </row>
    <row r="531" spans="2:5" x14ac:dyDescent="0.3">
      <c r="B531" s="52"/>
      <c r="C531" s="51"/>
      <c r="D531" s="1">
        <v>0</v>
      </c>
      <c r="E531" s="1"/>
    </row>
    <row r="532" spans="2:5" x14ac:dyDescent="0.3">
      <c r="B532" s="60" t="s">
        <v>40</v>
      </c>
      <c r="C532" s="51"/>
      <c r="D532" s="1">
        <v>0</v>
      </c>
      <c r="E532" s="1"/>
    </row>
    <row r="533" spans="2:5" ht="15.6" x14ac:dyDescent="0.3">
      <c r="B533" s="52" t="s">
        <v>342</v>
      </c>
      <c r="C533" s="51"/>
      <c r="D533" s="32">
        <v>8588.65</v>
      </c>
      <c r="E533" s="1"/>
    </row>
    <row r="534" spans="2:5" x14ac:dyDescent="0.3">
      <c r="B534" s="52"/>
      <c r="C534" s="51"/>
      <c r="D534" s="1">
        <v>0</v>
      </c>
      <c r="E534" s="1"/>
    </row>
    <row r="535" spans="2:5" x14ac:dyDescent="0.3">
      <c r="B535" s="61" t="s">
        <v>47</v>
      </c>
      <c r="C535" s="51"/>
      <c r="D535" s="1">
        <v>0</v>
      </c>
      <c r="E535" s="1"/>
    </row>
    <row r="536" spans="2:5" x14ac:dyDescent="0.3">
      <c r="B536" s="52"/>
      <c r="C536" s="51"/>
      <c r="D536" s="1">
        <v>0</v>
      </c>
      <c r="E536" s="1"/>
    </row>
    <row r="537" spans="2:5" x14ac:dyDescent="0.3">
      <c r="B537" s="52"/>
      <c r="C537" s="51"/>
      <c r="D537" s="1"/>
      <c r="E537" s="1"/>
    </row>
    <row r="538" spans="2:5" x14ac:dyDescent="0.3">
      <c r="B538" s="52"/>
      <c r="C538" s="51"/>
      <c r="D538" s="1">
        <v>0</v>
      </c>
      <c r="E538" s="1"/>
    </row>
    <row r="539" spans="2:5" x14ac:dyDescent="0.3">
      <c r="B539" s="56" t="s">
        <v>52</v>
      </c>
      <c r="C539" s="57"/>
      <c r="D539" s="1">
        <v>0</v>
      </c>
      <c r="E539" s="1"/>
    </row>
    <row r="540" spans="2:5" ht="15.6" x14ac:dyDescent="0.3">
      <c r="B540" s="52" t="s">
        <v>53</v>
      </c>
      <c r="C540" s="51"/>
      <c r="D540" s="34">
        <v>470.2</v>
      </c>
      <c r="E540" s="1"/>
    </row>
    <row r="541" spans="2:5" x14ac:dyDescent="0.3">
      <c r="B541" s="52" t="s">
        <v>196</v>
      </c>
      <c r="C541" s="51"/>
      <c r="D541" s="1">
        <f>1330.97+9286.02</f>
        <v>10616.99</v>
      </c>
      <c r="E541" s="1"/>
    </row>
    <row r="542" spans="2:5" x14ac:dyDescent="0.3">
      <c r="B542" s="59" t="s">
        <v>42</v>
      </c>
      <c r="C542" s="51"/>
      <c r="D542" s="3">
        <f>SUM(D529:D541)</f>
        <v>23890.559999999998</v>
      </c>
      <c r="E542" s="1"/>
    </row>
    <row r="543" spans="2:5" x14ac:dyDescent="0.3">
      <c r="B543" s="14"/>
      <c r="C543" s="14"/>
      <c r="D543" s="14"/>
      <c r="E543" s="14"/>
    </row>
    <row r="544" spans="2:5" x14ac:dyDescent="0.3">
      <c r="B544" t="s">
        <v>11</v>
      </c>
    </row>
    <row r="545" spans="2:5" x14ac:dyDescent="0.3">
      <c r="B545" t="s">
        <v>12</v>
      </c>
      <c r="C545" t="s">
        <v>13</v>
      </c>
    </row>
    <row r="552" spans="2:5" ht="15.6" x14ac:dyDescent="0.3">
      <c r="C552" s="4" t="s">
        <v>6</v>
      </c>
      <c r="D552" s="4"/>
    </row>
    <row r="553" spans="2:5" x14ac:dyDescent="0.3">
      <c r="B553" s="5" t="s">
        <v>7</v>
      </c>
      <c r="C553" s="5"/>
      <c r="D553" s="5"/>
      <c r="E553" s="5"/>
    </row>
    <row r="554" spans="2:5" x14ac:dyDescent="0.3">
      <c r="B554" s="5"/>
      <c r="C554" s="5" t="s">
        <v>30</v>
      </c>
      <c r="D554" s="5"/>
      <c r="E554" s="5"/>
    </row>
    <row r="555" spans="2:5" x14ac:dyDescent="0.3">
      <c r="B555" t="s">
        <v>163</v>
      </c>
      <c r="C555" t="s">
        <v>176</v>
      </c>
      <c r="D555" s="6">
        <v>19</v>
      </c>
    </row>
    <row r="558" spans="2:5" ht="28.8" x14ac:dyDescent="0.3">
      <c r="B558" s="1" t="s">
        <v>0</v>
      </c>
      <c r="C558" s="2" t="s">
        <v>1</v>
      </c>
      <c r="D558" s="2" t="s">
        <v>2</v>
      </c>
      <c r="E558" s="2" t="s">
        <v>3</v>
      </c>
    </row>
    <row r="559" spans="2:5" x14ac:dyDescent="0.3">
      <c r="B559" s="3" t="s">
        <v>4</v>
      </c>
      <c r="C559" s="1">
        <v>14914.92</v>
      </c>
      <c r="D559" s="1">
        <v>12805.03</v>
      </c>
      <c r="E559" s="1">
        <v>6633.72</v>
      </c>
    </row>
    <row r="560" spans="2:5" x14ac:dyDescent="0.3">
      <c r="B560" s="49" t="s">
        <v>10</v>
      </c>
      <c r="C560" s="50"/>
      <c r="D560" s="51"/>
      <c r="E560" s="1">
        <f>C559-E559</f>
        <v>8281.2000000000007</v>
      </c>
    </row>
    <row r="562" spans="2:5" ht="28.8" x14ac:dyDescent="0.3">
      <c r="B562" s="60" t="s">
        <v>37</v>
      </c>
      <c r="C562" s="51"/>
      <c r="D562" s="21" t="s">
        <v>41</v>
      </c>
      <c r="E562" s="3"/>
    </row>
    <row r="563" spans="2:5" x14ac:dyDescent="0.3">
      <c r="B563" s="60" t="s">
        <v>38</v>
      </c>
      <c r="C563" s="51"/>
      <c r="D563" s="1">
        <v>0</v>
      </c>
      <c r="E563" s="1"/>
    </row>
    <row r="564" spans="2:5" x14ac:dyDescent="0.3">
      <c r="B564" s="52"/>
      <c r="C564" s="51"/>
      <c r="D564" s="1">
        <v>0</v>
      </c>
      <c r="E564" s="1"/>
    </row>
    <row r="565" spans="2:5" x14ac:dyDescent="0.3">
      <c r="B565" s="52"/>
      <c r="C565" s="51"/>
      <c r="D565" s="1">
        <v>0</v>
      </c>
      <c r="E565" s="1"/>
    </row>
    <row r="566" spans="2:5" x14ac:dyDescent="0.3">
      <c r="B566" s="60" t="s">
        <v>40</v>
      </c>
      <c r="C566" s="51"/>
      <c r="D566" s="1">
        <v>0</v>
      </c>
      <c r="E566" s="1"/>
    </row>
    <row r="567" spans="2:5" x14ac:dyDescent="0.3">
      <c r="B567" s="52" t="s">
        <v>343</v>
      </c>
      <c r="C567" s="51"/>
      <c r="D567" s="27">
        <v>593.84</v>
      </c>
      <c r="E567" s="1"/>
    </row>
    <row r="568" spans="2:5" x14ac:dyDescent="0.3">
      <c r="B568" s="52"/>
      <c r="C568" s="51"/>
      <c r="D568" s="1">
        <v>0</v>
      </c>
      <c r="E568" s="1"/>
    </row>
    <row r="569" spans="2:5" x14ac:dyDescent="0.3">
      <c r="B569" s="61" t="s">
        <v>47</v>
      </c>
      <c r="C569" s="51"/>
      <c r="D569" s="1">
        <v>0</v>
      </c>
      <c r="E569" s="1"/>
    </row>
    <row r="570" spans="2:5" x14ac:dyDescent="0.3">
      <c r="B570" s="52"/>
      <c r="C570" s="51"/>
      <c r="D570" s="1">
        <v>0</v>
      </c>
      <c r="E570" s="1"/>
    </row>
    <row r="571" spans="2:5" x14ac:dyDescent="0.3">
      <c r="B571" s="52"/>
      <c r="C571" s="51"/>
      <c r="D571" s="1"/>
      <c r="E571" s="1"/>
    </row>
    <row r="572" spans="2:5" x14ac:dyDescent="0.3">
      <c r="B572" s="52"/>
      <c r="C572" s="51"/>
      <c r="D572" s="1">
        <v>0</v>
      </c>
      <c r="E572" s="1"/>
    </row>
    <row r="573" spans="2:5" x14ac:dyDescent="0.3">
      <c r="B573" s="56" t="s">
        <v>52</v>
      </c>
      <c r="C573" s="57"/>
      <c r="D573" s="1">
        <v>0</v>
      </c>
      <c r="E573" s="1"/>
    </row>
    <row r="574" spans="2:5" x14ac:dyDescent="0.3">
      <c r="B574" s="52" t="s">
        <v>53</v>
      </c>
      <c r="C574" s="51"/>
      <c r="D574" s="1"/>
      <c r="E574" s="1"/>
    </row>
    <row r="575" spans="2:5" x14ac:dyDescent="0.3">
      <c r="B575" s="52" t="s">
        <v>196</v>
      </c>
      <c r="C575" s="51"/>
      <c r="D575" s="1">
        <f>3408.11+2631.77</f>
        <v>6039.88</v>
      </c>
      <c r="E575" s="1"/>
    </row>
    <row r="576" spans="2:5" x14ac:dyDescent="0.3">
      <c r="B576" s="59" t="s">
        <v>42</v>
      </c>
      <c r="C576" s="51"/>
      <c r="D576" s="3">
        <f>SUM(D563:D575)</f>
        <v>6633.72</v>
      </c>
      <c r="E576" s="1"/>
    </row>
    <row r="577" spans="2:5" x14ac:dyDescent="0.3">
      <c r="B577" s="14"/>
      <c r="C577" s="14"/>
      <c r="D577" s="14"/>
      <c r="E577" s="14"/>
    </row>
    <row r="578" spans="2:5" x14ac:dyDescent="0.3">
      <c r="B578" t="s">
        <v>11</v>
      </c>
    </row>
    <row r="579" spans="2:5" x14ac:dyDescent="0.3">
      <c r="B579" t="s">
        <v>12</v>
      </c>
      <c r="C579" t="s">
        <v>13</v>
      </c>
    </row>
    <row r="586" spans="2:5" ht="15.6" x14ac:dyDescent="0.3">
      <c r="C586" s="4" t="s">
        <v>6</v>
      </c>
      <c r="D586" s="4"/>
    </row>
    <row r="587" spans="2:5" x14ac:dyDescent="0.3">
      <c r="B587" s="5" t="s">
        <v>7</v>
      </c>
      <c r="C587" s="5"/>
      <c r="D587" s="5"/>
      <c r="E587" s="5"/>
    </row>
    <row r="588" spans="2:5" x14ac:dyDescent="0.3">
      <c r="B588" s="5"/>
      <c r="C588" s="5" t="s">
        <v>30</v>
      </c>
      <c r="D588" s="5"/>
      <c r="E588" s="5"/>
    </row>
    <row r="589" spans="2:5" x14ac:dyDescent="0.3">
      <c r="B589" t="s">
        <v>163</v>
      </c>
      <c r="C589" t="s">
        <v>176</v>
      </c>
      <c r="D589" s="6">
        <v>20</v>
      </c>
    </row>
    <row r="592" spans="2:5" ht="28.8" x14ac:dyDescent="0.3">
      <c r="B592" s="1" t="s">
        <v>0</v>
      </c>
      <c r="C592" s="2" t="s">
        <v>1</v>
      </c>
      <c r="D592" s="2" t="s">
        <v>2</v>
      </c>
      <c r="E592" s="2" t="s">
        <v>3</v>
      </c>
    </row>
    <row r="593" spans="2:5" x14ac:dyDescent="0.3">
      <c r="B593" s="3" t="s">
        <v>4</v>
      </c>
      <c r="C593" s="1">
        <v>122717.58</v>
      </c>
      <c r="D593" s="1">
        <v>106640.97</v>
      </c>
      <c r="E593" s="1">
        <v>149577.85</v>
      </c>
    </row>
    <row r="594" spans="2:5" x14ac:dyDescent="0.3">
      <c r="B594" s="49" t="s">
        <v>10</v>
      </c>
      <c r="C594" s="50"/>
      <c r="D594" s="51"/>
      <c r="E594" s="1">
        <f>C593-E593</f>
        <v>-26860.270000000004</v>
      </c>
    </row>
    <row r="596" spans="2:5" ht="28.8" x14ac:dyDescent="0.3">
      <c r="B596" s="60" t="s">
        <v>37</v>
      </c>
      <c r="C596" s="51"/>
      <c r="D596" s="21" t="s">
        <v>41</v>
      </c>
      <c r="E596" s="3"/>
    </row>
    <row r="597" spans="2:5" x14ac:dyDescent="0.3">
      <c r="B597" s="60" t="s">
        <v>38</v>
      </c>
      <c r="C597" s="51"/>
      <c r="D597" s="1">
        <v>0</v>
      </c>
      <c r="E597" s="1"/>
    </row>
    <row r="598" spans="2:5" x14ac:dyDescent="0.3">
      <c r="B598" s="52" t="s">
        <v>344</v>
      </c>
      <c r="C598" s="51"/>
      <c r="D598" s="33">
        <v>107487.59</v>
      </c>
      <c r="E598" s="1"/>
    </row>
    <row r="599" spans="2:5" x14ac:dyDescent="0.3">
      <c r="B599" s="52" t="s">
        <v>346</v>
      </c>
      <c r="C599" s="51"/>
      <c r="D599" s="33">
        <v>9110.65</v>
      </c>
      <c r="E599" s="1"/>
    </row>
    <row r="600" spans="2:5" x14ac:dyDescent="0.3">
      <c r="B600" s="60" t="s">
        <v>40</v>
      </c>
      <c r="C600" s="51"/>
      <c r="D600" s="1">
        <v>0</v>
      </c>
      <c r="E600" s="1"/>
    </row>
    <row r="601" spans="2:5" x14ac:dyDescent="0.3">
      <c r="B601" s="52" t="s">
        <v>202</v>
      </c>
      <c r="C601" s="51"/>
      <c r="D601" s="30">
        <v>13440</v>
      </c>
      <c r="E601" s="1"/>
    </row>
    <row r="602" spans="2:5" ht="29.4" customHeight="1" x14ac:dyDescent="0.3">
      <c r="B602" s="52" t="s">
        <v>347</v>
      </c>
      <c r="C602" s="51"/>
      <c r="D602" s="30">
        <v>1172.52</v>
      </c>
      <c r="E602" s="1"/>
    </row>
    <row r="603" spans="2:5" ht="15" customHeight="1" x14ac:dyDescent="0.3">
      <c r="B603" s="68" t="s">
        <v>348</v>
      </c>
      <c r="C603" s="51"/>
      <c r="D603" s="32">
        <v>15156.32</v>
      </c>
      <c r="E603" s="1"/>
    </row>
    <row r="604" spans="2:5" x14ac:dyDescent="0.3">
      <c r="B604" s="61" t="s">
        <v>47</v>
      </c>
      <c r="C604" s="51"/>
      <c r="D604" s="1">
        <v>0</v>
      </c>
      <c r="E604" s="1"/>
    </row>
    <row r="605" spans="2:5" x14ac:dyDescent="0.3">
      <c r="B605" s="52" t="s">
        <v>345</v>
      </c>
      <c r="C605" s="51"/>
      <c r="D605" s="33">
        <v>462.99</v>
      </c>
      <c r="E605" s="1"/>
    </row>
    <row r="606" spans="2:5" x14ac:dyDescent="0.3">
      <c r="B606" s="52" t="s">
        <v>242</v>
      </c>
      <c r="C606" s="51"/>
      <c r="D606" s="30">
        <v>1426.01</v>
      </c>
      <c r="E606" s="1"/>
    </row>
    <row r="607" spans="2:5" x14ac:dyDescent="0.3">
      <c r="B607" s="52"/>
      <c r="C607" s="51"/>
      <c r="D607" s="1">
        <v>0</v>
      </c>
      <c r="E607" s="1"/>
    </row>
    <row r="608" spans="2:5" x14ac:dyDescent="0.3">
      <c r="B608" s="56" t="s">
        <v>52</v>
      </c>
      <c r="C608" s="57"/>
      <c r="D608" s="1">
        <v>0</v>
      </c>
      <c r="E608" s="1"/>
    </row>
    <row r="609" spans="2:5" x14ac:dyDescent="0.3">
      <c r="B609" s="52" t="s">
        <v>53</v>
      </c>
      <c r="C609" s="51"/>
      <c r="D609" s="1"/>
      <c r="E609" s="1"/>
    </row>
    <row r="610" spans="2:5" x14ac:dyDescent="0.3">
      <c r="B610" s="52" t="s">
        <v>196</v>
      </c>
      <c r="C610" s="51"/>
      <c r="D610" s="1">
        <f>912.48+409.29</f>
        <v>1321.77</v>
      </c>
      <c r="E610" s="1"/>
    </row>
    <row r="611" spans="2:5" x14ac:dyDescent="0.3">
      <c r="B611" s="59" t="s">
        <v>42</v>
      </c>
      <c r="C611" s="51"/>
      <c r="D611" s="3">
        <f>SUM(D597:D610)</f>
        <v>149577.84999999998</v>
      </c>
      <c r="E611" s="1"/>
    </row>
    <row r="612" spans="2:5" x14ac:dyDescent="0.3">
      <c r="B612" s="14"/>
      <c r="C612" s="14"/>
      <c r="D612" s="14"/>
      <c r="E612" s="14"/>
    </row>
    <row r="613" spans="2:5" x14ac:dyDescent="0.3">
      <c r="B613" t="s">
        <v>11</v>
      </c>
    </row>
    <row r="614" spans="2:5" x14ac:dyDescent="0.3">
      <c r="B614" t="s">
        <v>12</v>
      </c>
      <c r="C614" t="s">
        <v>13</v>
      </c>
    </row>
    <row r="621" spans="2:5" ht="15.6" x14ac:dyDescent="0.3">
      <c r="C621" s="4" t="s">
        <v>6</v>
      </c>
      <c r="D621" s="4"/>
    </row>
    <row r="622" spans="2:5" x14ac:dyDescent="0.3">
      <c r="B622" s="5" t="s">
        <v>7</v>
      </c>
      <c r="C622" s="5"/>
      <c r="D622" s="5"/>
      <c r="E622" s="5"/>
    </row>
    <row r="623" spans="2:5" x14ac:dyDescent="0.3">
      <c r="B623" s="5"/>
      <c r="C623" s="5" t="s">
        <v>30</v>
      </c>
      <c r="D623" s="5"/>
      <c r="E623" s="5"/>
    </row>
    <row r="624" spans="2:5" x14ac:dyDescent="0.3">
      <c r="B624" t="s">
        <v>163</v>
      </c>
      <c r="C624" t="s">
        <v>176</v>
      </c>
      <c r="D624" s="6">
        <v>21</v>
      </c>
    </row>
    <row r="627" spans="2:5" ht="28.8" x14ac:dyDescent="0.3">
      <c r="B627" s="1" t="s">
        <v>0</v>
      </c>
      <c r="C627" s="2" t="s">
        <v>1</v>
      </c>
      <c r="D627" s="2" t="s">
        <v>2</v>
      </c>
      <c r="E627" s="2" t="s">
        <v>3</v>
      </c>
    </row>
    <row r="628" spans="2:5" x14ac:dyDescent="0.3">
      <c r="B628" s="3" t="s">
        <v>4</v>
      </c>
      <c r="C628" s="1">
        <v>14904.3</v>
      </c>
      <c r="D628" s="1">
        <v>13113.14</v>
      </c>
      <c r="E628" s="1">
        <v>33798.230000000003</v>
      </c>
    </row>
    <row r="629" spans="2:5" x14ac:dyDescent="0.3">
      <c r="B629" s="49" t="s">
        <v>10</v>
      </c>
      <c r="C629" s="50"/>
      <c r="D629" s="51"/>
      <c r="E629" s="1">
        <f>C628-E628</f>
        <v>-18893.930000000004</v>
      </c>
    </row>
    <row r="631" spans="2:5" ht="28.8" x14ac:dyDescent="0.3">
      <c r="B631" s="60" t="s">
        <v>37</v>
      </c>
      <c r="C631" s="51"/>
      <c r="D631" s="21" t="s">
        <v>41</v>
      </c>
      <c r="E631" s="3"/>
    </row>
    <row r="632" spans="2:5" x14ac:dyDescent="0.3">
      <c r="B632" s="60" t="s">
        <v>38</v>
      </c>
      <c r="C632" s="51"/>
      <c r="D632" s="1">
        <v>0</v>
      </c>
      <c r="E632" s="1"/>
    </row>
    <row r="633" spans="2:5" x14ac:dyDescent="0.3">
      <c r="B633" s="52"/>
      <c r="C633" s="51"/>
      <c r="D633" s="1">
        <v>0</v>
      </c>
      <c r="E633" s="1"/>
    </row>
    <row r="634" spans="2:5" x14ac:dyDescent="0.3">
      <c r="B634" s="52"/>
      <c r="C634" s="51"/>
      <c r="D634" s="1">
        <v>0</v>
      </c>
      <c r="E634" s="1"/>
    </row>
    <row r="635" spans="2:5" x14ac:dyDescent="0.3">
      <c r="B635" s="60" t="s">
        <v>40</v>
      </c>
      <c r="C635" s="51"/>
      <c r="D635" s="1">
        <v>0</v>
      </c>
      <c r="E635" s="1"/>
    </row>
    <row r="636" spans="2:5" x14ac:dyDescent="0.3">
      <c r="B636" s="52" t="s">
        <v>349</v>
      </c>
      <c r="C636" s="51"/>
      <c r="D636" s="1">
        <f>10864.56+1137</f>
        <v>12001.56</v>
      </c>
      <c r="E636" s="1"/>
    </row>
    <row r="637" spans="2:5" x14ac:dyDescent="0.3">
      <c r="B637" s="52" t="s">
        <v>350</v>
      </c>
      <c r="C637" s="51"/>
      <c r="D637" s="1">
        <f>6012.8+413.47</f>
        <v>6426.27</v>
      </c>
      <c r="E637" s="1"/>
    </row>
    <row r="638" spans="2:5" x14ac:dyDescent="0.3">
      <c r="B638" s="61" t="s">
        <v>47</v>
      </c>
      <c r="C638" s="51"/>
      <c r="D638" s="1">
        <v>0</v>
      </c>
      <c r="E638" s="1"/>
    </row>
    <row r="639" spans="2:5" x14ac:dyDescent="0.3">
      <c r="B639" s="52" t="s">
        <v>204</v>
      </c>
      <c r="C639" s="51"/>
      <c r="D639" s="1">
        <f>120.3+286.05</f>
        <v>406.35</v>
      </c>
      <c r="E639" s="1"/>
    </row>
    <row r="640" spans="2:5" x14ac:dyDescent="0.3">
      <c r="B640" s="52"/>
      <c r="C640" s="51"/>
      <c r="D640" s="1"/>
      <c r="E640" s="1"/>
    </row>
    <row r="641" spans="2:5" x14ac:dyDescent="0.3">
      <c r="B641" s="52"/>
      <c r="C641" s="51"/>
      <c r="D641" s="1">
        <v>0</v>
      </c>
      <c r="E641" s="1"/>
    </row>
    <row r="642" spans="2:5" x14ac:dyDescent="0.3">
      <c r="B642" s="56" t="s">
        <v>52</v>
      </c>
      <c r="C642" s="57"/>
      <c r="D642" s="1">
        <v>0</v>
      </c>
      <c r="E642" s="1"/>
    </row>
    <row r="643" spans="2:5" x14ac:dyDescent="0.3">
      <c r="B643" s="52" t="s">
        <v>53</v>
      </c>
      <c r="C643" s="51"/>
      <c r="D643" s="1"/>
      <c r="E643" s="1"/>
    </row>
    <row r="644" spans="2:5" x14ac:dyDescent="0.3">
      <c r="B644" s="52" t="s">
        <v>196</v>
      </c>
      <c r="C644" s="51"/>
      <c r="D644" s="1">
        <f>14964.05</f>
        <v>14964.05</v>
      </c>
      <c r="E644" s="1"/>
    </row>
    <row r="645" spans="2:5" x14ac:dyDescent="0.3">
      <c r="B645" s="59" t="s">
        <v>42</v>
      </c>
      <c r="C645" s="51"/>
      <c r="D645" s="3">
        <f>SUM(D632:D644)</f>
        <v>33798.229999999996</v>
      </c>
      <c r="E645" s="1"/>
    </row>
    <row r="646" spans="2:5" x14ac:dyDescent="0.3">
      <c r="B646" s="14"/>
      <c r="C646" s="14"/>
      <c r="D646" s="14"/>
      <c r="E646" s="14"/>
    </row>
    <row r="647" spans="2:5" x14ac:dyDescent="0.3">
      <c r="B647" t="s">
        <v>11</v>
      </c>
    </row>
    <row r="648" spans="2:5" x14ac:dyDescent="0.3">
      <c r="B648" t="s">
        <v>12</v>
      </c>
      <c r="C648" t="s">
        <v>13</v>
      </c>
    </row>
    <row r="655" spans="2:5" ht="15.6" x14ac:dyDescent="0.3">
      <c r="C655" s="4" t="s">
        <v>6</v>
      </c>
      <c r="D655" s="4"/>
    </row>
    <row r="656" spans="2:5" x14ac:dyDescent="0.3">
      <c r="B656" s="5" t="s">
        <v>7</v>
      </c>
      <c r="C656" s="5"/>
      <c r="D656" s="5"/>
      <c r="E656" s="5"/>
    </row>
    <row r="657" spans="2:5" x14ac:dyDescent="0.3">
      <c r="B657" s="5"/>
      <c r="C657" s="5" t="s">
        <v>30</v>
      </c>
      <c r="D657" s="5"/>
      <c r="E657" s="5"/>
    </row>
    <row r="658" spans="2:5" x14ac:dyDescent="0.3">
      <c r="B658" t="s">
        <v>163</v>
      </c>
      <c r="C658" t="s">
        <v>176</v>
      </c>
      <c r="D658" s="6">
        <v>22</v>
      </c>
    </row>
    <row r="661" spans="2:5" ht="28.8" x14ac:dyDescent="0.3">
      <c r="B661" s="1" t="s">
        <v>0</v>
      </c>
      <c r="C661" s="2" t="s">
        <v>1</v>
      </c>
      <c r="D661" s="2" t="s">
        <v>2</v>
      </c>
      <c r="E661" s="2" t="s">
        <v>3</v>
      </c>
    </row>
    <row r="662" spans="2:5" x14ac:dyDescent="0.3">
      <c r="B662" s="3" t="s">
        <v>4</v>
      </c>
      <c r="C662" s="1">
        <v>122465.94</v>
      </c>
      <c r="D662" s="1">
        <v>104688.05</v>
      </c>
      <c r="E662" s="1">
        <v>289718.25</v>
      </c>
    </row>
    <row r="663" spans="2:5" x14ac:dyDescent="0.3">
      <c r="B663" s="49" t="s">
        <v>10</v>
      </c>
      <c r="C663" s="50"/>
      <c r="D663" s="51"/>
      <c r="E663" s="1">
        <f>C662-E662</f>
        <v>-167252.31</v>
      </c>
    </row>
    <row r="665" spans="2:5" ht="28.8" x14ac:dyDescent="0.3">
      <c r="B665" s="60" t="s">
        <v>37</v>
      </c>
      <c r="C665" s="51"/>
      <c r="D665" s="21" t="s">
        <v>41</v>
      </c>
      <c r="E665" s="3"/>
    </row>
    <row r="666" spans="2:5" x14ac:dyDescent="0.3">
      <c r="B666" s="60" t="s">
        <v>38</v>
      </c>
      <c r="C666" s="51"/>
      <c r="D666" s="1">
        <v>0</v>
      </c>
      <c r="E666" s="1"/>
    </row>
    <row r="667" spans="2:5" ht="15.6" x14ac:dyDescent="0.3">
      <c r="B667" s="52" t="s">
        <v>351</v>
      </c>
      <c r="C667" s="51"/>
      <c r="D667" s="36">
        <v>80382.2</v>
      </c>
      <c r="E667" s="1"/>
    </row>
    <row r="668" spans="2:5" x14ac:dyDescent="0.3">
      <c r="B668" s="52" t="s">
        <v>352</v>
      </c>
      <c r="C668" s="51"/>
      <c r="D668" s="33">
        <v>5603.84</v>
      </c>
      <c r="E668" s="1"/>
    </row>
    <row r="669" spans="2:5" ht="25.8" customHeight="1" x14ac:dyDescent="0.3">
      <c r="B669" s="66" t="s">
        <v>353</v>
      </c>
      <c r="C669" s="65"/>
      <c r="D669" s="30">
        <v>144151.54999999999</v>
      </c>
      <c r="E669" s="1"/>
    </row>
    <row r="670" spans="2:5" ht="15.6" x14ac:dyDescent="0.3">
      <c r="B670" s="41" t="s">
        <v>354</v>
      </c>
      <c r="C670" s="26"/>
      <c r="D670" s="32">
        <v>6902.81</v>
      </c>
      <c r="E670" s="1"/>
    </row>
    <row r="671" spans="2:5" x14ac:dyDescent="0.3">
      <c r="B671" s="25"/>
      <c r="C671" s="26"/>
      <c r="D671" s="33"/>
      <c r="E671" s="1"/>
    </row>
    <row r="672" spans="2:5" x14ac:dyDescent="0.3">
      <c r="B672" s="60" t="s">
        <v>40</v>
      </c>
      <c r="C672" s="51"/>
      <c r="D672" s="1">
        <v>0</v>
      </c>
      <c r="E672" s="1"/>
    </row>
    <row r="673" spans="2:5" x14ac:dyDescent="0.3">
      <c r="B673" s="52" t="s">
        <v>356</v>
      </c>
      <c r="C673" s="51"/>
      <c r="D673" s="30">
        <v>694.89</v>
      </c>
      <c r="E673" s="1"/>
    </row>
    <row r="674" spans="2:5" ht="15.6" x14ac:dyDescent="0.3">
      <c r="B674" s="52" t="s">
        <v>357</v>
      </c>
      <c r="C674" s="51"/>
      <c r="D674" s="35">
        <v>44000</v>
      </c>
      <c r="E674" s="1"/>
    </row>
    <row r="675" spans="2:5" x14ac:dyDescent="0.3">
      <c r="B675" s="61" t="s">
        <v>47</v>
      </c>
      <c r="C675" s="51"/>
      <c r="D675" s="1">
        <v>0</v>
      </c>
      <c r="E675" s="1"/>
    </row>
    <row r="676" spans="2:5" ht="15.6" x14ac:dyDescent="0.3">
      <c r="B676" s="52" t="s">
        <v>355</v>
      </c>
      <c r="C676" s="51"/>
      <c r="D676" s="34">
        <f>148.18+338.95+148.18</f>
        <v>635.30999999999995</v>
      </c>
      <c r="E676" s="1"/>
    </row>
    <row r="677" spans="2:5" ht="15.6" x14ac:dyDescent="0.3">
      <c r="B677" s="52" t="s">
        <v>192</v>
      </c>
      <c r="C677" s="51"/>
      <c r="D677" s="32">
        <v>1396.49</v>
      </c>
      <c r="E677" s="1"/>
    </row>
    <row r="678" spans="2:5" x14ac:dyDescent="0.3">
      <c r="B678" s="52"/>
      <c r="C678" s="51"/>
      <c r="D678" s="1">
        <v>0</v>
      </c>
      <c r="E678" s="1"/>
    </row>
    <row r="679" spans="2:5" x14ac:dyDescent="0.3">
      <c r="B679" s="56" t="s">
        <v>52</v>
      </c>
      <c r="C679" s="57"/>
      <c r="D679" s="1">
        <v>0</v>
      </c>
      <c r="E679" s="1"/>
    </row>
    <row r="680" spans="2:5" x14ac:dyDescent="0.3">
      <c r="B680" s="52" t="s">
        <v>53</v>
      </c>
      <c r="C680" s="51"/>
      <c r="D680" s="1">
        <f>4702</f>
        <v>4702</v>
      </c>
      <c r="E680" s="1"/>
    </row>
    <row r="681" spans="2:5" x14ac:dyDescent="0.3">
      <c r="B681" s="52" t="s">
        <v>322</v>
      </c>
      <c r="C681" s="51"/>
      <c r="D681" s="30">
        <v>1249.1600000000001</v>
      </c>
      <c r="E681" s="1"/>
    </row>
    <row r="682" spans="2:5" x14ac:dyDescent="0.3">
      <c r="B682" s="59" t="s">
        <v>42</v>
      </c>
      <c r="C682" s="51"/>
      <c r="D682" s="3">
        <f>SUM(D666:D681)</f>
        <v>289718.24999999994</v>
      </c>
      <c r="E682" s="1"/>
    </row>
    <row r="683" spans="2:5" x14ac:dyDescent="0.3">
      <c r="B683" s="14"/>
      <c r="C683" s="14"/>
      <c r="D683" s="14"/>
      <c r="E683" s="14"/>
    </row>
    <row r="684" spans="2:5" x14ac:dyDescent="0.3">
      <c r="B684" t="s">
        <v>11</v>
      </c>
    </row>
    <row r="685" spans="2:5" x14ac:dyDescent="0.3">
      <c r="B685" t="s">
        <v>12</v>
      </c>
      <c r="C685" t="s">
        <v>13</v>
      </c>
    </row>
    <row r="693" spans="2:5" ht="15.6" x14ac:dyDescent="0.3">
      <c r="C693" s="4" t="s">
        <v>6</v>
      </c>
      <c r="D693" s="4"/>
    </row>
    <row r="694" spans="2:5" x14ac:dyDescent="0.3">
      <c r="B694" s="5" t="s">
        <v>7</v>
      </c>
      <c r="C694" s="5"/>
      <c r="D694" s="5"/>
      <c r="E694" s="5"/>
    </row>
    <row r="695" spans="2:5" x14ac:dyDescent="0.3">
      <c r="B695" s="5"/>
      <c r="C695" s="5" t="s">
        <v>30</v>
      </c>
      <c r="D695" s="5"/>
      <c r="E695" s="5"/>
    </row>
    <row r="696" spans="2:5" x14ac:dyDescent="0.3">
      <c r="B696" t="s">
        <v>163</v>
      </c>
      <c r="C696" t="s">
        <v>176</v>
      </c>
      <c r="D696" s="6">
        <v>24</v>
      </c>
    </row>
    <row r="699" spans="2:5" ht="28.8" x14ac:dyDescent="0.3">
      <c r="B699" s="1" t="s">
        <v>0</v>
      </c>
      <c r="C699" s="2" t="s">
        <v>1</v>
      </c>
      <c r="D699" s="2" t="s">
        <v>2</v>
      </c>
      <c r="E699" s="2" t="s">
        <v>3</v>
      </c>
    </row>
    <row r="700" spans="2:5" x14ac:dyDescent="0.3">
      <c r="B700" s="3" t="s">
        <v>4</v>
      </c>
      <c r="C700" s="1">
        <v>121715.82</v>
      </c>
      <c r="D700" s="1">
        <v>106352</v>
      </c>
      <c r="E700" s="1">
        <v>142049.82999999999</v>
      </c>
    </row>
    <row r="701" spans="2:5" x14ac:dyDescent="0.3">
      <c r="B701" s="49" t="s">
        <v>10</v>
      </c>
      <c r="C701" s="50"/>
      <c r="D701" s="51"/>
      <c r="E701" s="1">
        <f>C700-E700</f>
        <v>-20334.00999999998</v>
      </c>
    </row>
    <row r="703" spans="2:5" ht="28.8" x14ac:dyDescent="0.3">
      <c r="B703" s="60" t="s">
        <v>37</v>
      </c>
      <c r="C703" s="51"/>
      <c r="D703" s="21" t="s">
        <v>41</v>
      </c>
      <c r="E703" s="3"/>
    </row>
    <row r="704" spans="2:5" x14ac:dyDescent="0.3">
      <c r="B704" s="60" t="s">
        <v>38</v>
      </c>
      <c r="C704" s="51"/>
      <c r="D704" s="1">
        <v>0</v>
      </c>
      <c r="E704" s="1"/>
    </row>
    <row r="705" spans="2:5" ht="15.6" x14ac:dyDescent="0.3">
      <c r="B705" s="52" t="s">
        <v>218</v>
      </c>
      <c r="C705" s="51"/>
      <c r="D705" s="34">
        <v>4214.72</v>
      </c>
      <c r="E705" s="1"/>
    </row>
    <row r="706" spans="2:5" x14ac:dyDescent="0.3">
      <c r="B706" s="52"/>
      <c r="C706" s="51"/>
      <c r="D706" s="1">
        <v>0</v>
      </c>
      <c r="E706" s="1"/>
    </row>
    <row r="707" spans="2:5" x14ac:dyDescent="0.3">
      <c r="B707" s="60" t="s">
        <v>40</v>
      </c>
      <c r="C707" s="51"/>
      <c r="D707" s="1">
        <v>0</v>
      </c>
      <c r="E707" s="1"/>
    </row>
    <row r="708" spans="2:5" x14ac:dyDescent="0.3">
      <c r="B708" s="52" t="s">
        <v>359</v>
      </c>
      <c r="C708" s="51"/>
      <c r="D708" s="27">
        <v>84463.44</v>
      </c>
      <c r="E708" s="1"/>
    </row>
    <row r="709" spans="2:5" x14ac:dyDescent="0.3">
      <c r="B709" s="52" t="s">
        <v>202</v>
      </c>
      <c r="C709" s="51"/>
      <c r="D709" s="30">
        <v>22400.11</v>
      </c>
      <c r="E709" s="1"/>
    </row>
    <row r="710" spans="2:5" ht="17.399999999999999" customHeight="1" x14ac:dyDescent="0.3">
      <c r="B710" s="71" t="s">
        <v>360</v>
      </c>
      <c r="C710" s="51"/>
      <c r="D710" s="35">
        <v>30053.49</v>
      </c>
      <c r="E710" s="1"/>
    </row>
    <row r="711" spans="2:5" x14ac:dyDescent="0.3">
      <c r="B711" s="61" t="s">
        <v>47</v>
      </c>
      <c r="C711" s="51"/>
      <c r="D711" s="1">
        <v>0</v>
      </c>
      <c r="E711" s="1"/>
    </row>
    <row r="712" spans="2:5" ht="15.6" x14ac:dyDescent="0.3">
      <c r="B712" s="52" t="s">
        <v>358</v>
      </c>
      <c r="C712" s="51"/>
      <c r="D712" s="34">
        <v>462.99</v>
      </c>
      <c r="E712" s="1"/>
    </row>
    <row r="713" spans="2:5" x14ac:dyDescent="0.3">
      <c r="B713" s="52" t="s">
        <v>238</v>
      </c>
      <c r="C713" s="51"/>
      <c r="D713" s="1">
        <f>148.18+306.9</f>
        <v>455.08</v>
      </c>
      <c r="E713" s="1"/>
    </row>
    <row r="714" spans="2:5" x14ac:dyDescent="0.3">
      <c r="B714" s="52"/>
      <c r="C714" s="51"/>
      <c r="D714" s="1">
        <v>0</v>
      </c>
      <c r="E714" s="1"/>
    </row>
    <row r="715" spans="2:5" x14ac:dyDescent="0.3">
      <c r="B715" s="56" t="s">
        <v>52</v>
      </c>
      <c r="C715" s="57"/>
      <c r="D715" s="1">
        <v>0</v>
      </c>
      <c r="E715" s="1"/>
    </row>
    <row r="716" spans="2:5" x14ac:dyDescent="0.3">
      <c r="B716" s="52" t="s">
        <v>53</v>
      </c>
      <c r="C716" s="51"/>
      <c r="D716" s="1"/>
      <c r="E716" s="1"/>
    </row>
    <row r="717" spans="2:5" x14ac:dyDescent="0.3">
      <c r="B717" s="52"/>
      <c r="C717" s="51"/>
      <c r="D717" s="1">
        <v>0</v>
      </c>
      <c r="E717" s="1"/>
    </row>
    <row r="718" spans="2:5" x14ac:dyDescent="0.3">
      <c r="B718" s="59" t="s">
        <v>42</v>
      </c>
      <c r="C718" s="51"/>
      <c r="D718" s="3">
        <f>SUM(D704:D717)</f>
        <v>142049.82999999999</v>
      </c>
      <c r="E718" s="1"/>
    </row>
    <row r="719" spans="2:5" x14ac:dyDescent="0.3">
      <c r="B719" s="14"/>
      <c r="C719" s="14"/>
      <c r="D719" s="14"/>
      <c r="E719" s="14"/>
    </row>
    <row r="720" spans="2:5" x14ac:dyDescent="0.3">
      <c r="B720" t="s">
        <v>11</v>
      </c>
    </row>
    <row r="721" spans="2:5" x14ac:dyDescent="0.3">
      <c r="B721" t="s">
        <v>12</v>
      </c>
      <c r="C721" t="s">
        <v>13</v>
      </c>
    </row>
    <row r="726" spans="2:5" ht="15.6" x14ac:dyDescent="0.3">
      <c r="C726" s="4" t="s">
        <v>6</v>
      </c>
      <c r="D726" s="4"/>
    </row>
    <row r="727" spans="2:5" x14ac:dyDescent="0.3">
      <c r="B727" s="5" t="s">
        <v>7</v>
      </c>
      <c r="C727" s="5"/>
      <c r="D727" s="5"/>
      <c r="E727" s="5"/>
    </row>
    <row r="728" spans="2:5" x14ac:dyDescent="0.3">
      <c r="B728" s="5"/>
      <c r="C728" s="5" t="s">
        <v>30</v>
      </c>
      <c r="D728" s="5"/>
      <c r="E728" s="5"/>
    </row>
    <row r="729" spans="2:5" x14ac:dyDescent="0.3">
      <c r="B729" t="s">
        <v>163</v>
      </c>
      <c r="C729" t="s">
        <v>176</v>
      </c>
      <c r="D729" s="6">
        <v>25</v>
      </c>
    </row>
    <row r="732" spans="2:5" ht="28.8" x14ac:dyDescent="0.3">
      <c r="B732" s="1" t="s">
        <v>0</v>
      </c>
      <c r="C732" s="2" t="s">
        <v>1</v>
      </c>
      <c r="D732" s="2" t="s">
        <v>2</v>
      </c>
      <c r="E732" s="2" t="s">
        <v>3</v>
      </c>
    </row>
    <row r="733" spans="2:5" x14ac:dyDescent="0.3">
      <c r="B733" s="3" t="s">
        <v>4</v>
      </c>
      <c r="C733" s="1">
        <v>168055.38</v>
      </c>
      <c r="D733" s="1">
        <v>140583.78</v>
      </c>
      <c r="E733" s="1">
        <v>155435.37</v>
      </c>
    </row>
    <row r="734" spans="2:5" x14ac:dyDescent="0.3">
      <c r="B734" s="49" t="s">
        <v>10</v>
      </c>
      <c r="C734" s="50"/>
      <c r="D734" s="51"/>
      <c r="E734" s="1">
        <f>C733-E733</f>
        <v>12620.010000000009</v>
      </c>
    </row>
    <row r="736" spans="2:5" ht="28.8" x14ac:dyDescent="0.3">
      <c r="B736" s="60" t="s">
        <v>37</v>
      </c>
      <c r="C736" s="51"/>
      <c r="D736" s="21" t="s">
        <v>41</v>
      </c>
      <c r="E736" s="3"/>
    </row>
    <row r="737" spans="2:5" x14ac:dyDescent="0.3">
      <c r="B737" s="60" t="s">
        <v>38</v>
      </c>
      <c r="C737" s="51"/>
      <c r="D737" s="1">
        <v>0</v>
      </c>
      <c r="E737" s="1"/>
    </row>
    <row r="738" spans="2:5" x14ac:dyDescent="0.3">
      <c r="B738" s="52"/>
      <c r="C738" s="51"/>
      <c r="D738" s="1">
        <v>0</v>
      </c>
      <c r="E738" s="1"/>
    </row>
    <row r="739" spans="2:5" x14ac:dyDescent="0.3">
      <c r="B739" s="52"/>
      <c r="C739" s="51"/>
      <c r="D739" s="1">
        <v>0</v>
      </c>
      <c r="E739" s="1"/>
    </row>
    <row r="740" spans="2:5" x14ac:dyDescent="0.3">
      <c r="B740" s="60" t="s">
        <v>40</v>
      </c>
      <c r="C740" s="51"/>
      <c r="D740" s="1">
        <v>0</v>
      </c>
      <c r="E740" s="1"/>
    </row>
    <row r="741" spans="2:5" ht="15.6" x14ac:dyDescent="0.3">
      <c r="B741" s="52" t="s">
        <v>113</v>
      </c>
      <c r="C741" s="51"/>
      <c r="D741" s="31">
        <f>44982.83+59859.87</f>
        <v>104842.70000000001</v>
      </c>
      <c r="E741" s="1"/>
    </row>
    <row r="742" spans="2:5" ht="15.6" x14ac:dyDescent="0.3">
      <c r="B742" s="52" t="s">
        <v>362</v>
      </c>
      <c r="C742" s="51"/>
      <c r="D742" s="34">
        <f>5828.46+11531.44</f>
        <v>17359.900000000001</v>
      </c>
      <c r="E742" s="1"/>
    </row>
    <row r="743" spans="2:5" x14ac:dyDescent="0.3">
      <c r="B743" s="61" t="s">
        <v>47</v>
      </c>
      <c r="C743" s="51"/>
      <c r="D743" s="1">
        <v>0</v>
      </c>
      <c r="E743" s="1"/>
    </row>
    <row r="744" spans="2:5" ht="15.6" x14ac:dyDescent="0.3">
      <c r="B744" s="52" t="s">
        <v>204</v>
      </c>
      <c r="C744" s="51"/>
      <c r="D744" s="31">
        <f>120.3+145.45+919.43</f>
        <v>1185.1799999999998</v>
      </c>
      <c r="E744" s="1"/>
    </row>
    <row r="745" spans="2:5" ht="15.6" x14ac:dyDescent="0.3">
      <c r="B745" s="52" t="s">
        <v>229</v>
      </c>
      <c r="C745" s="51"/>
      <c r="D745" s="32">
        <v>323.88</v>
      </c>
      <c r="E745" s="1"/>
    </row>
    <row r="746" spans="2:5" x14ac:dyDescent="0.3">
      <c r="B746" s="52"/>
      <c r="C746" s="51"/>
      <c r="D746" s="1">
        <v>0</v>
      </c>
      <c r="E746" s="1"/>
    </row>
    <row r="747" spans="2:5" x14ac:dyDescent="0.3">
      <c r="B747" s="56" t="s">
        <v>52</v>
      </c>
      <c r="C747" s="57"/>
      <c r="D747" s="1">
        <v>0</v>
      </c>
      <c r="E747" s="1"/>
    </row>
    <row r="748" spans="2:5" x14ac:dyDescent="0.3">
      <c r="B748" s="52" t="s">
        <v>196</v>
      </c>
      <c r="C748" s="51"/>
      <c r="D748" s="1">
        <f>9859.18+5125.05</f>
        <v>14984.23</v>
      </c>
      <c r="E748" s="1"/>
    </row>
    <row r="749" spans="2:5" x14ac:dyDescent="0.3">
      <c r="B749" s="52" t="s">
        <v>361</v>
      </c>
      <c r="C749" s="51"/>
      <c r="D749" s="30">
        <v>8858.33</v>
      </c>
      <c r="E749" s="1"/>
    </row>
    <row r="750" spans="2:5" x14ac:dyDescent="0.3">
      <c r="B750" s="42" t="s">
        <v>363</v>
      </c>
      <c r="C750" s="26"/>
      <c r="D750" s="30">
        <f>6735.05/2+4513.62</f>
        <v>7881.1450000000004</v>
      </c>
      <c r="E750" s="1"/>
    </row>
    <row r="751" spans="2:5" x14ac:dyDescent="0.3">
      <c r="B751" s="59" t="s">
        <v>42</v>
      </c>
      <c r="C751" s="51"/>
      <c r="D751" s="38">
        <f>SUM(D737:D750)</f>
        <v>155435.36499999999</v>
      </c>
      <c r="E751" s="1"/>
    </row>
    <row r="752" spans="2:5" x14ac:dyDescent="0.3">
      <c r="B752" s="14"/>
      <c r="C752" s="14"/>
      <c r="D752" s="14"/>
      <c r="E752" s="14"/>
    </row>
    <row r="753" spans="2:5" x14ac:dyDescent="0.3">
      <c r="B753" t="s">
        <v>11</v>
      </c>
    </row>
    <row r="754" spans="2:5" x14ac:dyDescent="0.3">
      <c r="B754" t="s">
        <v>12</v>
      </c>
      <c r="C754" t="s">
        <v>13</v>
      </c>
    </row>
    <row r="759" spans="2:5" ht="15.6" x14ac:dyDescent="0.3">
      <c r="C759" s="4" t="s">
        <v>6</v>
      </c>
      <c r="D759" s="4"/>
    </row>
    <row r="760" spans="2:5" x14ac:dyDescent="0.3">
      <c r="B760" s="5" t="s">
        <v>7</v>
      </c>
      <c r="C760" s="5"/>
      <c r="D760" s="5"/>
      <c r="E760" s="5"/>
    </row>
    <row r="761" spans="2:5" x14ac:dyDescent="0.3">
      <c r="B761" s="5"/>
      <c r="C761" s="5" t="s">
        <v>30</v>
      </c>
      <c r="D761" s="5"/>
      <c r="E761" s="5"/>
    </row>
    <row r="762" spans="2:5" x14ac:dyDescent="0.3">
      <c r="B762" t="s">
        <v>163</v>
      </c>
      <c r="C762" t="s">
        <v>176</v>
      </c>
      <c r="D762" s="6">
        <v>26</v>
      </c>
    </row>
    <row r="765" spans="2:5" ht="28.8" x14ac:dyDescent="0.3">
      <c r="B765" s="1" t="s">
        <v>0</v>
      </c>
      <c r="C765" s="2" t="s">
        <v>1</v>
      </c>
      <c r="D765" s="2" t="s">
        <v>2</v>
      </c>
      <c r="E765" s="2" t="s">
        <v>3</v>
      </c>
    </row>
    <row r="766" spans="2:5" x14ac:dyDescent="0.3">
      <c r="B766" s="3" t="s">
        <v>4</v>
      </c>
      <c r="C766" s="1">
        <v>120074.22</v>
      </c>
      <c r="D766" s="1">
        <v>102247.89</v>
      </c>
      <c r="E766" s="1">
        <v>113973.16</v>
      </c>
    </row>
    <row r="767" spans="2:5" x14ac:dyDescent="0.3">
      <c r="B767" s="49" t="s">
        <v>10</v>
      </c>
      <c r="C767" s="50"/>
      <c r="D767" s="51"/>
      <c r="E767" s="1">
        <f>C766-E766</f>
        <v>6101.0599999999977</v>
      </c>
    </row>
    <row r="769" spans="2:5" ht="28.8" x14ac:dyDescent="0.3">
      <c r="B769" s="60" t="s">
        <v>37</v>
      </c>
      <c r="C769" s="51"/>
      <c r="D769" s="21" t="s">
        <v>41</v>
      </c>
      <c r="E769" s="3"/>
    </row>
    <row r="770" spans="2:5" x14ac:dyDescent="0.3">
      <c r="B770" s="60" t="s">
        <v>38</v>
      </c>
      <c r="C770" s="51"/>
      <c r="D770" s="1">
        <v>0</v>
      </c>
      <c r="E770" s="1"/>
    </row>
    <row r="771" spans="2:5" x14ac:dyDescent="0.3">
      <c r="B771" s="52"/>
      <c r="C771" s="51"/>
      <c r="D771" s="1">
        <v>0</v>
      </c>
      <c r="E771" s="1"/>
    </row>
    <row r="772" spans="2:5" x14ac:dyDescent="0.3">
      <c r="B772" s="52"/>
      <c r="C772" s="51"/>
      <c r="D772" s="1">
        <v>0</v>
      </c>
      <c r="E772" s="1"/>
    </row>
    <row r="773" spans="2:5" x14ac:dyDescent="0.3">
      <c r="B773" s="60" t="s">
        <v>40</v>
      </c>
      <c r="C773" s="51"/>
      <c r="D773" s="1">
        <v>0</v>
      </c>
      <c r="E773" s="1"/>
    </row>
    <row r="774" spans="2:5" x14ac:dyDescent="0.3">
      <c r="B774" s="52" t="s">
        <v>364</v>
      </c>
      <c r="C774" s="51"/>
      <c r="D774" s="27">
        <v>7164.83</v>
      </c>
      <c r="E774" s="1"/>
    </row>
    <row r="775" spans="2:5" x14ac:dyDescent="0.3">
      <c r="B775" s="52" t="s">
        <v>365</v>
      </c>
      <c r="C775" s="51"/>
      <c r="D775" s="27">
        <v>70000</v>
      </c>
      <c r="E775" s="1"/>
    </row>
    <row r="776" spans="2:5" x14ac:dyDescent="0.3">
      <c r="B776" s="52" t="s">
        <v>264</v>
      </c>
      <c r="C776" s="51"/>
      <c r="D776" s="33">
        <v>21193.17</v>
      </c>
      <c r="E776" s="1"/>
    </row>
    <row r="777" spans="2:5" x14ac:dyDescent="0.3">
      <c r="B777" s="52" t="s">
        <v>366</v>
      </c>
      <c r="C777" s="51"/>
      <c r="D777" s="30">
        <v>1655.71</v>
      </c>
      <c r="E777" s="1"/>
    </row>
    <row r="778" spans="2:5" x14ac:dyDescent="0.3">
      <c r="B778" s="52" t="s">
        <v>367</v>
      </c>
      <c r="C778" s="51"/>
      <c r="D778" s="30">
        <v>1020.21</v>
      </c>
      <c r="E778" s="1"/>
    </row>
    <row r="779" spans="2:5" x14ac:dyDescent="0.3">
      <c r="B779" s="52"/>
      <c r="C779" s="51"/>
      <c r="D779" s="1"/>
      <c r="E779" s="1"/>
    </row>
    <row r="780" spans="2:5" x14ac:dyDescent="0.3">
      <c r="B780" s="61" t="s">
        <v>47</v>
      </c>
      <c r="C780" s="51"/>
      <c r="D780" s="1">
        <v>0</v>
      </c>
      <c r="E780" s="1"/>
    </row>
    <row r="781" spans="2:5" ht="15.6" x14ac:dyDescent="0.3">
      <c r="B781" s="52" t="s">
        <v>245</v>
      </c>
      <c r="C781" s="51"/>
      <c r="D781" s="34">
        <v>1133.6600000000001</v>
      </c>
      <c r="E781" s="1"/>
    </row>
    <row r="782" spans="2:5" x14ac:dyDescent="0.3">
      <c r="B782" s="52"/>
      <c r="C782" s="51"/>
      <c r="D782" s="1"/>
      <c r="E782" s="1"/>
    </row>
    <row r="783" spans="2:5" x14ac:dyDescent="0.3">
      <c r="B783" s="52"/>
      <c r="C783" s="51"/>
      <c r="D783" s="1">
        <v>0</v>
      </c>
      <c r="E783" s="1"/>
    </row>
    <row r="784" spans="2:5" x14ac:dyDescent="0.3">
      <c r="B784" s="56" t="s">
        <v>52</v>
      </c>
      <c r="C784" s="57"/>
      <c r="D784" s="1">
        <v>0</v>
      </c>
      <c r="E784" s="1"/>
    </row>
    <row r="785" spans="2:5" x14ac:dyDescent="0.3">
      <c r="B785" s="52" t="s">
        <v>53</v>
      </c>
      <c r="C785" s="51"/>
      <c r="D785" s="1"/>
      <c r="E785" s="1"/>
    </row>
    <row r="786" spans="2:5" x14ac:dyDescent="0.3">
      <c r="B786" s="52" t="s">
        <v>368</v>
      </c>
      <c r="C786" s="51"/>
      <c r="D786" s="30">
        <v>11805.58</v>
      </c>
      <c r="E786" s="1"/>
    </row>
    <row r="787" spans="2:5" x14ac:dyDescent="0.3">
      <c r="B787" s="59" t="s">
        <v>42</v>
      </c>
      <c r="C787" s="51"/>
      <c r="D787" s="3">
        <f>SUM(D770:D786)</f>
        <v>113973.16000000002</v>
      </c>
      <c r="E787" s="1"/>
    </row>
    <row r="788" spans="2:5" x14ac:dyDescent="0.3">
      <c r="B788" s="14"/>
      <c r="C788" s="14"/>
      <c r="D788" s="14"/>
      <c r="E788" s="14"/>
    </row>
    <row r="789" spans="2:5" x14ac:dyDescent="0.3">
      <c r="B789" t="s">
        <v>11</v>
      </c>
    </row>
    <row r="790" spans="2:5" x14ac:dyDescent="0.3">
      <c r="B790" t="s">
        <v>12</v>
      </c>
      <c r="C790" t="s">
        <v>13</v>
      </c>
    </row>
    <row r="795" spans="2:5" ht="15.6" x14ac:dyDescent="0.3">
      <c r="C795" s="4" t="s">
        <v>6</v>
      </c>
      <c r="D795" s="4"/>
    </row>
    <row r="796" spans="2:5" x14ac:dyDescent="0.3">
      <c r="B796" s="5" t="s">
        <v>7</v>
      </c>
      <c r="C796" s="5"/>
      <c r="D796" s="5"/>
      <c r="E796" s="5"/>
    </row>
    <row r="797" spans="2:5" x14ac:dyDescent="0.3">
      <c r="B797" s="5"/>
      <c r="C797" s="5" t="s">
        <v>30</v>
      </c>
      <c r="D797" s="5"/>
      <c r="E797" s="5"/>
    </row>
    <row r="798" spans="2:5" x14ac:dyDescent="0.3">
      <c r="B798" t="s">
        <v>163</v>
      </c>
      <c r="C798" t="s">
        <v>176</v>
      </c>
      <c r="D798" s="6">
        <v>28</v>
      </c>
    </row>
    <row r="801" spans="2:5" ht="28.8" x14ac:dyDescent="0.3">
      <c r="B801" s="1" t="s">
        <v>0</v>
      </c>
      <c r="C801" s="2" t="s">
        <v>1</v>
      </c>
      <c r="D801" s="2" t="s">
        <v>2</v>
      </c>
      <c r="E801" s="2" t="s">
        <v>3</v>
      </c>
    </row>
    <row r="802" spans="2:5" x14ac:dyDescent="0.3">
      <c r="B802" s="3" t="s">
        <v>4</v>
      </c>
      <c r="C802" s="1">
        <v>121687.56</v>
      </c>
      <c r="D802" s="1">
        <v>103935.36</v>
      </c>
      <c r="E802" s="1">
        <v>224183.32</v>
      </c>
    </row>
    <row r="803" spans="2:5" x14ac:dyDescent="0.3">
      <c r="B803" s="49" t="s">
        <v>10</v>
      </c>
      <c r="C803" s="50"/>
      <c r="D803" s="51"/>
      <c r="E803" s="1">
        <f>C802-E802</f>
        <v>-102495.76000000001</v>
      </c>
    </row>
    <row r="805" spans="2:5" ht="28.8" x14ac:dyDescent="0.3">
      <c r="B805" s="60" t="s">
        <v>37</v>
      </c>
      <c r="C805" s="51"/>
      <c r="D805" s="21" t="s">
        <v>41</v>
      </c>
      <c r="E805" s="3"/>
    </row>
    <row r="806" spans="2:5" x14ac:dyDescent="0.3">
      <c r="B806" s="60" t="s">
        <v>38</v>
      </c>
      <c r="C806" s="51"/>
      <c r="D806" s="1">
        <v>0</v>
      </c>
      <c r="E806" s="1"/>
    </row>
    <row r="807" spans="2:5" ht="15.6" x14ac:dyDescent="0.3">
      <c r="B807" s="52" t="s">
        <v>370</v>
      </c>
      <c r="C807" s="51"/>
      <c r="D807" s="34">
        <v>322.08999999999997</v>
      </c>
      <c r="E807" s="1"/>
    </row>
    <row r="808" spans="2:5" x14ac:dyDescent="0.3">
      <c r="B808" s="52" t="s">
        <v>371</v>
      </c>
      <c r="C808" s="51"/>
      <c r="D808" s="27">
        <v>25916.89</v>
      </c>
      <c r="E808" s="1"/>
    </row>
    <row r="809" spans="2:5" x14ac:dyDescent="0.3">
      <c r="B809" s="10" t="s">
        <v>372</v>
      </c>
      <c r="C809" s="26"/>
      <c r="D809" s="27">
        <v>18836.810000000001</v>
      </c>
      <c r="E809" s="1"/>
    </row>
    <row r="810" spans="2:5" x14ac:dyDescent="0.3">
      <c r="B810" s="60" t="s">
        <v>40</v>
      </c>
      <c r="C810" s="51"/>
      <c r="D810" s="1">
        <v>0</v>
      </c>
      <c r="E810" s="1"/>
    </row>
    <row r="811" spans="2:5" x14ac:dyDescent="0.3">
      <c r="B811" s="52" t="s">
        <v>373</v>
      </c>
      <c r="C811" s="51"/>
      <c r="D811" s="27">
        <v>42361.87</v>
      </c>
      <c r="E811" s="1"/>
    </row>
    <row r="812" spans="2:5" x14ac:dyDescent="0.3">
      <c r="B812" s="42" t="s">
        <v>374</v>
      </c>
      <c r="C812" s="42"/>
      <c r="D812" s="30">
        <v>30000</v>
      </c>
      <c r="E812" s="1"/>
    </row>
    <row r="813" spans="2:5" ht="25.2" customHeight="1" x14ac:dyDescent="0.3">
      <c r="B813" s="52" t="s">
        <v>375</v>
      </c>
      <c r="C813" s="51"/>
      <c r="D813" s="1">
        <f>8432.95+3851.6</f>
        <v>12284.550000000001</v>
      </c>
      <c r="E813" s="1"/>
    </row>
    <row r="814" spans="2:5" ht="16.8" customHeight="1" x14ac:dyDescent="0.3">
      <c r="B814" s="11" t="s">
        <v>332</v>
      </c>
      <c r="C814" s="11"/>
      <c r="D814" s="27">
        <v>3532.56</v>
      </c>
      <c r="E814" s="1"/>
    </row>
    <row r="815" spans="2:5" ht="16.8" customHeight="1" x14ac:dyDescent="0.3">
      <c r="B815" s="11" t="s">
        <v>113</v>
      </c>
      <c r="C815" s="11"/>
      <c r="D815" s="27">
        <v>73736.289999999994</v>
      </c>
      <c r="E815" s="1"/>
    </row>
    <row r="816" spans="2:5" x14ac:dyDescent="0.3">
      <c r="B816" s="61" t="s">
        <v>47</v>
      </c>
      <c r="C816" s="51"/>
      <c r="D816" s="1">
        <v>0</v>
      </c>
      <c r="E816" s="1"/>
    </row>
    <row r="817" spans="2:5" x14ac:dyDescent="0.3">
      <c r="B817" s="52" t="s">
        <v>369</v>
      </c>
      <c r="C817" s="51"/>
      <c r="D817" s="1">
        <f>61.77+619.83</f>
        <v>681.6</v>
      </c>
      <c r="E817" s="1"/>
    </row>
    <row r="818" spans="2:5" x14ac:dyDescent="0.3">
      <c r="B818" s="52"/>
      <c r="C818" s="51"/>
      <c r="D818" s="1"/>
      <c r="E818" s="1"/>
    </row>
    <row r="819" spans="2:5" x14ac:dyDescent="0.3">
      <c r="B819" s="52"/>
      <c r="C819" s="51"/>
      <c r="D819" s="1">
        <v>0</v>
      </c>
      <c r="E819" s="1"/>
    </row>
    <row r="820" spans="2:5" x14ac:dyDescent="0.3">
      <c r="B820" s="56" t="s">
        <v>52</v>
      </c>
      <c r="C820" s="57"/>
      <c r="D820" s="1">
        <v>0</v>
      </c>
      <c r="E820" s="1"/>
    </row>
    <row r="821" spans="2:5" x14ac:dyDescent="0.3">
      <c r="B821" s="52" t="s">
        <v>53</v>
      </c>
      <c r="C821" s="51"/>
      <c r="D821" s="1">
        <v>14106</v>
      </c>
      <c r="E821" s="1"/>
    </row>
    <row r="822" spans="2:5" x14ac:dyDescent="0.3">
      <c r="B822" s="52" t="s">
        <v>257</v>
      </c>
      <c r="C822" s="51"/>
      <c r="D822" s="27">
        <v>2404.66</v>
      </c>
      <c r="E822" s="1"/>
    </row>
    <row r="823" spans="2:5" x14ac:dyDescent="0.3">
      <c r="B823" s="59" t="s">
        <v>42</v>
      </c>
      <c r="C823" s="51"/>
      <c r="D823" s="3">
        <f>SUM(D806:D822)</f>
        <v>224183.32</v>
      </c>
      <c r="E823" s="1"/>
    </row>
    <row r="824" spans="2:5" x14ac:dyDescent="0.3">
      <c r="B824" s="14"/>
      <c r="C824" s="14"/>
      <c r="D824" s="14"/>
      <c r="E824" s="14"/>
    </row>
    <row r="825" spans="2:5" x14ac:dyDescent="0.3">
      <c r="B825" t="s">
        <v>11</v>
      </c>
    </row>
    <row r="826" spans="2:5" x14ac:dyDescent="0.3">
      <c r="B826" t="s">
        <v>12</v>
      </c>
      <c r="C826" t="s">
        <v>13</v>
      </c>
    </row>
    <row r="831" spans="2:5" ht="15.6" x14ac:dyDescent="0.3">
      <c r="C831" s="4" t="s">
        <v>6</v>
      </c>
      <c r="D831" s="4"/>
    </row>
    <row r="832" spans="2:5" x14ac:dyDescent="0.3">
      <c r="B832" s="5" t="s">
        <v>7</v>
      </c>
      <c r="C832" s="5"/>
      <c r="D832" s="5"/>
      <c r="E832" s="5"/>
    </row>
    <row r="833" spans="2:5" x14ac:dyDescent="0.3">
      <c r="B833" s="5"/>
      <c r="C833" s="5" t="s">
        <v>30</v>
      </c>
      <c r="D833" s="5"/>
      <c r="E833" s="5"/>
    </row>
    <row r="834" spans="2:5" x14ac:dyDescent="0.3">
      <c r="B834" t="s">
        <v>163</v>
      </c>
      <c r="C834" t="s">
        <v>176</v>
      </c>
      <c r="D834" s="6">
        <v>30</v>
      </c>
    </row>
    <row r="837" spans="2:5" ht="28.8" x14ac:dyDescent="0.3">
      <c r="B837" s="1" t="s">
        <v>0</v>
      </c>
      <c r="C837" s="2" t="s">
        <v>1</v>
      </c>
      <c r="D837" s="2" t="s">
        <v>2</v>
      </c>
      <c r="E837" s="2" t="s">
        <v>3</v>
      </c>
    </row>
    <row r="838" spans="2:5" x14ac:dyDescent="0.3">
      <c r="B838" s="3" t="s">
        <v>4</v>
      </c>
      <c r="C838" s="1">
        <v>121839.36</v>
      </c>
      <c r="D838" s="1">
        <v>107999.46</v>
      </c>
      <c r="E838" s="1">
        <v>110362.79</v>
      </c>
    </row>
    <row r="839" spans="2:5" x14ac:dyDescent="0.3">
      <c r="B839" s="49" t="s">
        <v>10</v>
      </c>
      <c r="C839" s="50"/>
      <c r="D839" s="51"/>
      <c r="E839" s="1">
        <f>C838-E838</f>
        <v>11476.570000000007</v>
      </c>
    </row>
    <row r="841" spans="2:5" ht="28.8" x14ac:dyDescent="0.3">
      <c r="B841" s="60" t="s">
        <v>37</v>
      </c>
      <c r="C841" s="51"/>
      <c r="D841" s="21" t="s">
        <v>41</v>
      </c>
      <c r="E841" s="3"/>
    </row>
    <row r="842" spans="2:5" x14ac:dyDescent="0.3">
      <c r="B842" s="60" t="s">
        <v>38</v>
      </c>
      <c r="C842" s="51"/>
      <c r="D842" s="1">
        <v>0</v>
      </c>
      <c r="E842" s="1"/>
    </row>
    <row r="843" spans="2:5" x14ac:dyDescent="0.3">
      <c r="B843" s="52"/>
      <c r="C843" s="51"/>
      <c r="D843" s="1">
        <v>0</v>
      </c>
      <c r="E843" s="1"/>
    </row>
    <row r="844" spans="2:5" x14ac:dyDescent="0.3">
      <c r="B844" s="52"/>
      <c r="C844" s="51"/>
      <c r="D844" s="1">
        <v>0</v>
      </c>
      <c r="E844" s="1"/>
    </row>
    <row r="845" spans="2:5" x14ac:dyDescent="0.3">
      <c r="B845" s="60" t="s">
        <v>40</v>
      </c>
      <c r="C845" s="51"/>
      <c r="D845" s="1">
        <v>0</v>
      </c>
      <c r="E845" s="1"/>
    </row>
    <row r="846" spans="2:5" ht="15.6" x14ac:dyDescent="0.3">
      <c r="B846" s="80" t="s">
        <v>270</v>
      </c>
      <c r="C846" s="81"/>
      <c r="D846" s="34">
        <v>2675.21</v>
      </c>
      <c r="E846" s="1"/>
    </row>
    <row r="847" spans="2:5" x14ac:dyDescent="0.3">
      <c r="B847" s="80" t="s">
        <v>202</v>
      </c>
      <c r="C847" s="81"/>
      <c r="D847" s="27">
        <v>4512.6899999999996</v>
      </c>
      <c r="E847" s="1"/>
    </row>
    <row r="848" spans="2:5" x14ac:dyDescent="0.3">
      <c r="B848" s="80" t="s">
        <v>55</v>
      </c>
      <c r="C848" s="81"/>
      <c r="D848" s="30">
        <f>8806.13+8727.61</f>
        <v>17533.739999999998</v>
      </c>
      <c r="E848" s="1"/>
    </row>
    <row r="849" spans="2:5" x14ac:dyDescent="0.3">
      <c r="B849" s="80" t="s">
        <v>376</v>
      </c>
      <c r="C849" s="81"/>
      <c r="D849" s="30">
        <v>6367.24</v>
      </c>
      <c r="E849" s="1"/>
    </row>
    <row r="850" spans="2:5" x14ac:dyDescent="0.3">
      <c r="B850" s="52" t="s">
        <v>377</v>
      </c>
      <c r="C850" s="51"/>
      <c r="D850" s="27">
        <v>14402.7</v>
      </c>
      <c r="E850" s="1"/>
    </row>
    <row r="851" spans="2:5" x14ac:dyDescent="0.3">
      <c r="B851" s="52" t="s">
        <v>113</v>
      </c>
      <c r="C851" s="51"/>
      <c r="D851" s="30">
        <v>61133.120000000003</v>
      </c>
      <c r="E851" s="1"/>
    </row>
    <row r="852" spans="2:5" x14ac:dyDescent="0.3">
      <c r="B852" s="61" t="s">
        <v>47</v>
      </c>
      <c r="C852" s="51"/>
      <c r="D852" s="1">
        <v>0</v>
      </c>
      <c r="E852" s="1"/>
    </row>
    <row r="853" spans="2:5" x14ac:dyDescent="0.3">
      <c r="B853" s="52"/>
      <c r="C853" s="51"/>
      <c r="D853" s="1">
        <v>0</v>
      </c>
      <c r="E853" s="1"/>
    </row>
    <row r="854" spans="2:5" x14ac:dyDescent="0.3">
      <c r="B854" s="52"/>
      <c r="C854" s="51"/>
      <c r="D854" s="1"/>
      <c r="E854" s="1"/>
    </row>
    <row r="855" spans="2:5" x14ac:dyDescent="0.3">
      <c r="B855" s="52"/>
      <c r="C855" s="51"/>
      <c r="D855" s="1">
        <v>0</v>
      </c>
      <c r="E855" s="1"/>
    </row>
    <row r="856" spans="2:5" x14ac:dyDescent="0.3">
      <c r="B856" s="56" t="s">
        <v>52</v>
      </c>
      <c r="C856" s="57"/>
      <c r="D856" s="1">
        <v>0</v>
      </c>
      <c r="E856" s="1"/>
    </row>
    <row r="857" spans="2:5" ht="15.6" x14ac:dyDescent="0.3">
      <c r="B857" s="52" t="s">
        <v>53</v>
      </c>
      <c r="C857" s="51"/>
      <c r="D857" s="34">
        <v>3738.09</v>
      </c>
      <c r="E857" s="1"/>
    </row>
    <row r="858" spans="2:5" x14ac:dyDescent="0.3">
      <c r="B858" s="52"/>
      <c r="C858" s="51"/>
      <c r="D858" s="1">
        <v>0</v>
      </c>
      <c r="E858" s="1"/>
    </row>
    <row r="859" spans="2:5" x14ac:dyDescent="0.3">
      <c r="B859" s="59" t="s">
        <v>42</v>
      </c>
      <c r="C859" s="51"/>
      <c r="D859" s="3">
        <f>SUM(D842:D858)</f>
        <v>110362.79000000001</v>
      </c>
      <c r="E859" s="1"/>
    </row>
    <row r="860" spans="2:5" x14ac:dyDescent="0.3">
      <c r="B860" s="14"/>
      <c r="C860" s="14"/>
      <c r="D860" s="14"/>
      <c r="E860" s="14"/>
    </row>
    <row r="861" spans="2:5" x14ac:dyDescent="0.3">
      <c r="B861" t="s">
        <v>11</v>
      </c>
    </row>
    <row r="862" spans="2:5" x14ac:dyDescent="0.3">
      <c r="B862" t="s">
        <v>12</v>
      </c>
      <c r="C862" t="s">
        <v>13</v>
      </c>
    </row>
    <row r="867" spans="2:5" ht="15.6" x14ac:dyDescent="0.3">
      <c r="C867" s="4" t="s">
        <v>6</v>
      </c>
      <c r="D867" s="4"/>
    </row>
    <row r="868" spans="2:5" x14ac:dyDescent="0.3">
      <c r="B868" s="5" t="s">
        <v>7</v>
      </c>
      <c r="C868" s="5"/>
      <c r="D868" s="5"/>
      <c r="E868" s="5"/>
    </row>
    <row r="869" spans="2:5" x14ac:dyDescent="0.3">
      <c r="B869" s="5"/>
      <c r="C869" s="5" t="s">
        <v>30</v>
      </c>
      <c r="D869" s="5"/>
      <c r="E869" s="5"/>
    </row>
    <row r="870" spans="2:5" x14ac:dyDescent="0.3">
      <c r="B870" t="s">
        <v>163</v>
      </c>
      <c r="C870" t="s">
        <v>176</v>
      </c>
      <c r="D870" s="6">
        <v>32</v>
      </c>
    </row>
    <row r="873" spans="2:5" ht="28.8" x14ac:dyDescent="0.3">
      <c r="B873" s="1" t="s">
        <v>0</v>
      </c>
      <c r="C873" s="2" t="s">
        <v>1</v>
      </c>
      <c r="D873" s="2" t="s">
        <v>2</v>
      </c>
      <c r="E873" s="2" t="s">
        <v>3</v>
      </c>
    </row>
    <row r="874" spans="2:5" x14ac:dyDescent="0.3">
      <c r="B874" s="3" t="s">
        <v>4</v>
      </c>
      <c r="C874" s="1">
        <v>122627.16</v>
      </c>
      <c r="D874" s="1">
        <v>106009.46</v>
      </c>
      <c r="E874" s="1">
        <v>100760.64</v>
      </c>
    </row>
    <row r="875" spans="2:5" x14ac:dyDescent="0.3">
      <c r="B875" s="49" t="s">
        <v>10</v>
      </c>
      <c r="C875" s="50"/>
      <c r="D875" s="51"/>
      <c r="E875" s="1">
        <f>C874-E874</f>
        <v>21866.520000000004</v>
      </c>
    </row>
    <row r="877" spans="2:5" ht="28.8" x14ac:dyDescent="0.3">
      <c r="B877" s="60" t="s">
        <v>37</v>
      </c>
      <c r="C877" s="51"/>
      <c r="D877" s="21" t="s">
        <v>41</v>
      </c>
      <c r="E877" s="3"/>
    </row>
    <row r="878" spans="2:5" x14ac:dyDescent="0.3">
      <c r="B878" s="60" t="s">
        <v>38</v>
      </c>
      <c r="C878" s="51"/>
      <c r="D878" s="1">
        <v>0</v>
      </c>
      <c r="E878" s="1"/>
    </row>
    <row r="879" spans="2:5" x14ac:dyDescent="0.3">
      <c r="B879" s="52"/>
      <c r="C879" s="51"/>
      <c r="D879" s="1">
        <v>0</v>
      </c>
      <c r="E879" s="1"/>
    </row>
    <row r="880" spans="2:5" x14ac:dyDescent="0.3">
      <c r="B880" s="52"/>
      <c r="C880" s="51"/>
      <c r="D880" s="1">
        <v>0</v>
      </c>
      <c r="E880" s="1"/>
    </row>
    <row r="881" spans="2:5" x14ac:dyDescent="0.3">
      <c r="B881" s="60" t="s">
        <v>40</v>
      </c>
      <c r="C881" s="51"/>
      <c r="D881" s="1">
        <v>0</v>
      </c>
      <c r="E881" s="1"/>
    </row>
    <row r="882" spans="2:5" ht="15.6" x14ac:dyDescent="0.3">
      <c r="B882" s="52" t="s">
        <v>113</v>
      </c>
      <c r="C882" s="51"/>
      <c r="D882" s="31">
        <v>64985.96</v>
      </c>
      <c r="E882" s="1"/>
    </row>
    <row r="883" spans="2:5" x14ac:dyDescent="0.3">
      <c r="B883" s="52" t="s">
        <v>378</v>
      </c>
      <c r="C883" s="51"/>
      <c r="D883" s="1">
        <f>19926.57+1444.5</f>
        <v>21371.07</v>
      </c>
      <c r="E883" s="1"/>
    </row>
    <row r="884" spans="2:5" ht="14.4" customHeight="1" x14ac:dyDescent="0.3">
      <c r="B884" s="82" t="s">
        <v>379</v>
      </c>
      <c r="C884" s="65"/>
      <c r="D884" s="35">
        <v>8994</v>
      </c>
      <c r="E884" s="1"/>
    </row>
    <row r="885" spans="2:5" ht="15.6" x14ac:dyDescent="0.3">
      <c r="B885" s="83" t="s">
        <v>380</v>
      </c>
      <c r="C885" s="51"/>
      <c r="D885" s="32">
        <v>4513.62</v>
      </c>
      <c r="E885" s="1"/>
    </row>
    <row r="886" spans="2:5" x14ac:dyDescent="0.3">
      <c r="B886" s="61" t="s">
        <v>47</v>
      </c>
      <c r="C886" s="51"/>
      <c r="D886" s="1">
        <v>0</v>
      </c>
      <c r="E886" s="1"/>
    </row>
    <row r="887" spans="2:5" ht="15.6" x14ac:dyDescent="0.3">
      <c r="B887" s="52" t="s">
        <v>229</v>
      </c>
      <c r="C887" s="51"/>
      <c r="D887" s="32">
        <v>323.88</v>
      </c>
      <c r="E887" s="1"/>
    </row>
    <row r="888" spans="2:5" ht="15.6" x14ac:dyDescent="0.3">
      <c r="B888" s="52" t="s">
        <v>204</v>
      </c>
      <c r="C888" s="51"/>
      <c r="D888" s="31">
        <v>572.11</v>
      </c>
      <c r="E888" s="1"/>
    </row>
    <row r="889" spans="2:5" x14ac:dyDescent="0.3">
      <c r="B889" s="52"/>
      <c r="C889" s="51"/>
      <c r="D889" s="1">
        <v>0</v>
      </c>
      <c r="E889" s="1"/>
    </row>
    <row r="890" spans="2:5" x14ac:dyDescent="0.3">
      <c r="B890" s="56" t="s">
        <v>52</v>
      </c>
      <c r="C890" s="57"/>
      <c r="D890" s="1">
        <v>0</v>
      </c>
      <c r="E890" s="1"/>
    </row>
    <row r="891" spans="2:5" x14ac:dyDescent="0.3">
      <c r="B891" s="52" t="s">
        <v>53</v>
      </c>
      <c r="C891" s="51"/>
      <c r="D891" s="1"/>
      <c r="E891" s="1"/>
    </row>
    <row r="892" spans="2:5" x14ac:dyDescent="0.3">
      <c r="B892" s="52"/>
      <c r="C892" s="51"/>
      <c r="D892" s="1">
        <v>0</v>
      </c>
      <c r="E892" s="1"/>
    </row>
    <row r="893" spans="2:5" x14ac:dyDescent="0.3">
      <c r="B893" s="59" t="s">
        <v>42</v>
      </c>
      <c r="C893" s="51"/>
      <c r="D893" s="3">
        <f>SUM(D878:D892)</f>
        <v>100760.64</v>
      </c>
      <c r="E893" s="1"/>
    </row>
    <row r="894" spans="2:5" x14ac:dyDescent="0.3">
      <c r="B894" s="14"/>
      <c r="C894" s="14"/>
      <c r="D894" s="14"/>
      <c r="E894" s="14"/>
    </row>
    <row r="895" spans="2:5" x14ac:dyDescent="0.3">
      <c r="B895" t="s">
        <v>11</v>
      </c>
    </row>
    <row r="896" spans="2:5" x14ac:dyDescent="0.3">
      <c r="B896" t="s">
        <v>12</v>
      </c>
      <c r="C896" t="s">
        <v>13</v>
      </c>
    </row>
    <row r="900" spans="2:5" ht="15.6" x14ac:dyDescent="0.3">
      <c r="C900" s="4" t="s">
        <v>6</v>
      </c>
      <c r="D900" s="4"/>
    </row>
    <row r="901" spans="2:5" x14ac:dyDescent="0.3">
      <c r="B901" s="5" t="s">
        <v>7</v>
      </c>
      <c r="C901" s="5"/>
      <c r="D901" s="5"/>
      <c r="E901" s="5"/>
    </row>
    <row r="902" spans="2:5" x14ac:dyDescent="0.3">
      <c r="B902" s="5"/>
      <c r="C902" s="5" t="s">
        <v>30</v>
      </c>
      <c r="D902" s="5"/>
      <c r="E902" s="5"/>
    </row>
    <row r="903" spans="2:5" x14ac:dyDescent="0.3">
      <c r="B903" t="s">
        <v>163</v>
      </c>
      <c r="C903" t="s">
        <v>176</v>
      </c>
      <c r="D903" s="6">
        <v>34</v>
      </c>
    </row>
    <row r="906" spans="2:5" ht="28.8" x14ac:dyDescent="0.3">
      <c r="B906" s="1" t="s">
        <v>0</v>
      </c>
      <c r="C906" s="2" t="s">
        <v>1</v>
      </c>
      <c r="D906" s="2" t="s">
        <v>2</v>
      </c>
      <c r="E906" s="2" t="s">
        <v>3</v>
      </c>
    </row>
    <row r="907" spans="2:5" x14ac:dyDescent="0.3">
      <c r="B907" s="3" t="s">
        <v>4</v>
      </c>
      <c r="C907" s="1">
        <v>122836.62</v>
      </c>
      <c r="D907" s="1">
        <v>108934.16</v>
      </c>
      <c r="E907" s="1">
        <v>22673.16</v>
      </c>
    </row>
    <row r="908" spans="2:5" x14ac:dyDescent="0.3">
      <c r="B908" s="49" t="s">
        <v>10</v>
      </c>
      <c r="C908" s="50"/>
      <c r="D908" s="51"/>
      <c r="E908" s="1">
        <f>C907-E907</f>
        <v>100163.45999999999</v>
      </c>
    </row>
    <row r="910" spans="2:5" ht="28.8" x14ac:dyDescent="0.3">
      <c r="B910" s="60" t="s">
        <v>37</v>
      </c>
      <c r="C910" s="51"/>
      <c r="D910" s="21" t="s">
        <v>41</v>
      </c>
      <c r="E910" s="3"/>
    </row>
    <row r="911" spans="2:5" x14ac:dyDescent="0.3">
      <c r="B911" s="60" t="s">
        <v>38</v>
      </c>
      <c r="C911" s="51"/>
      <c r="D911" s="1">
        <v>0</v>
      </c>
      <c r="E911" s="1"/>
    </row>
    <row r="912" spans="2:5" ht="15.6" x14ac:dyDescent="0.3">
      <c r="B912" s="52" t="s">
        <v>292</v>
      </c>
      <c r="C912" s="51"/>
      <c r="D912" s="32">
        <v>10374.59</v>
      </c>
      <c r="E912" s="1"/>
    </row>
    <row r="913" spans="2:5" x14ac:dyDescent="0.3">
      <c r="B913" s="52"/>
      <c r="C913" s="51"/>
      <c r="D913" s="1">
        <v>0</v>
      </c>
      <c r="E913" s="1"/>
    </row>
    <row r="914" spans="2:5" x14ac:dyDescent="0.3">
      <c r="B914" s="60" t="s">
        <v>40</v>
      </c>
      <c r="C914" s="51"/>
      <c r="D914" s="1">
        <v>0</v>
      </c>
      <c r="E914" s="1"/>
    </row>
    <row r="915" spans="2:5" ht="15.6" x14ac:dyDescent="0.3">
      <c r="B915" s="52" t="s">
        <v>55</v>
      </c>
      <c r="C915" s="51"/>
      <c r="D915" s="32">
        <v>9623.36</v>
      </c>
      <c r="E915" s="1"/>
    </row>
    <row r="916" spans="2:5" ht="15.6" x14ac:dyDescent="0.3">
      <c r="B916" s="52" t="s">
        <v>270</v>
      </c>
      <c r="C916" s="51"/>
      <c r="D916" s="34">
        <v>2675.21</v>
      </c>
      <c r="E916" s="1"/>
    </row>
    <row r="917" spans="2:5" x14ac:dyDescent="0.3">
      <c r="B917" s="61" t="s">
        <v>47</v>
      </c>
      <c r="C917" s="51"/>
      <c r="D917" s="1">
        <v>0</v>
      </c>
      <c r="E917" s="1"/>
    </row>
    <row r="918" spans="2:5" x14ac:dyDescent="0.3">
      <c r="B918" s="52"/>
      <c r="C918" s="51"/>
      <c r="D918" s="1">
        <v>0</v>
      </c>
      <c r="E918" s="1"/>
    </row>
    <row r="919" spans="2:5" x14ac:dyDescent="0.3">
      <c r="B919" s="52"/>
      <c r="C919" s="51"/>
      <c r="D919" s="1"/>
      <c r="E919" s="1"/>
    </row>
    <row r="920" spans="2:5" x14ac:dyDescent="0.3">
      <c r="B920" s="52"/>
      <c r="C920" s="51"/>
      <c r="D920" s="1">
        <v>0</v>
      </c>
      <c r="E920" s="1"/>
    </row>
    <row r="921" spans="2:5" x14ac:dyDescent="0.3">
      <c r="B921" s="56" t="s">
        <v>52</v>
      </c>
      <c r="C921" s="57"/>
      <c r="D921" s="1">
        <v>0</v>
      </c>
      <c r="E921" s="1"/>
    </row>
    <row r="922" spans="2:5" x14ac:dyDescent="0.3">
      <c r="B922" s="52" t="s">
        <v>53</v>
      </c>
      <c r="C922" s="51"/>
      <c r="D922" s="1"/>
      <c r="E922" s="1"/>
    </row>
    <row r="923" spans="2:5" x14ac:dyDescent="0.3">
      <c r="B923" s="52"/>
      <c r="C923" s="51"/>
      <c r="D923" s="1">
        <v>0</v>
      </c>
      <c r="E923" s="1"/>
    </row>
    <row r="924" spans="2:5" x14ac:dyDescent="0.3">
      <c r="B924" s="59" t="s">
        <v>42</v>
      </c>
      <c r="C924" s="51"/>
      <c r="D924" s="3">
        <f>SUM(D911:D923)</f>
        <v>22673.16</v>
      </c>
      <c r="E924" s="1"/>
    </row>
    <row r="925" spans="2:5" x14ac:dyDescent="0.3">
      <c r="B925" s="14"/>
      <c r="C925" s="14"/>
      <c r="D925" s="14"/>
      <c r="E925" s="14"/>
    </row>
    <row r="926" spans="2:5" x14ac:dyDescent="0.3">
      <c r="B926" t="s">
        <v>11</v>
      </c>
    </row>
    <row r="927" spans="2:5" x14ac:dyDescent="0.3">
      <c r="B927" t="s">
        <v>12</v>
      </c>
      <c r="C927" t="s">
        <v>13</v>
      </c>
    </row>
    <row r="932" spans="2:5" ht="15.6" x14ac:dyDescent="0.3">
      <c r="C932" s="4" t="s">
        <v>6</v>
      </c>
      <c r="D932" s="4"/>
    </row>
    <row r="933" spans="2:5" x14ac:dyDescent="0.3">
      <c r="B933" s="5" t="s">
        <v>7</v>
      </c>
      <c r="C933" s="5"/>
      <c r="D933" s="5"/>
      <c r="E933" s="5"/>
    </row>
    <row r="934" spans="2:5" x14ac:dyDescent="0.3">
      <c r="B934" s="5"/>
      <c r="C934" s="5" t="s">
        <v>30</v>
      </c>
      <c r="D934" s="5"/>
      <c r="E934" s="5"/>
    </row>
    <row r="935" spans="2:5" x14ac:dyDescent="0.3">
      <c r="B935" t="s">
        <v>163</v>
      </c>
      <c r="C935" t="s">
        <v>176</v>
      </c>
      <c r="D935" s="6">
        <v>36</v>
      </c>
    </row>
    <row r="938" spans="2:5" ht="28.8" x14ac:dyDescent="0.3">
      <c r="B938" s="1" t="s">
        <v>0</v>
      </c>
      <c r="C938" s="2" t="s">
        <v>1</v>
      </c>
      <c r="D938" s="2" t="s">
        <v>2</v>
      </c>
      <c r="E938" s="2" t="s">
        <v>3</v>
      </c>
    </row>
    <row r="939" spans="2:5" x14ac:dyDescent="0.3">
      <c r="B939" s="3" t="s">
        <v>4</v>
      </c>
      <c r="C939" s="1">
        <v>143210.82</v>
      </c>
      <c r="D939" s="1">
        <v>129486.74</v>
      </c>
      <c r="E939" s="1">
        <v>81464.08</v>
      </c>
    </row>
    <row r="940" spans="2:5" x14ac:dyDescent="0.3">
      <c r="B940" s="49" t="s">
        <v>10</v>
      </c>
      <c r="C940" s="50"/>
      <c r="D940" s="51"/>
      <c r="E940" s="1">
        <f>C939-E939</f>
        <v>61746.740000000005</v>
      </c>
    </row>
    <row r="942" spans="2:5" ht="28.8" x14ac:dyDescent="0.3">
      <c r="B942" s="60" t="s">
        <v>37</v>
      </c>
      <c r="C942" s="51"/>
      <c r="D942" s="21" t="s">
        <v>41</v>
      </c>
      <c r="E942" s="3"/>
    </row>
    <row r="943" spans="2:5" x14ac:dyDescent="0.3">
      <c r="B943" s="60" t="s">
        <v>38</v>
      </c>
      <c r="C943" s="51"/>
      <c r="D943" s="1">
        <v>0</v>
      </c>
      <c r="E943" s="1"/>
    </row>
    <row r="944" spans="2:5" x14ac:dyDescent="0.3">
      <c r="B944" s="69" t="s">
        <v>383</v>
      </c>
      <c r="C944" s="70"/>
      <c r="D944" s="1">
        <f>17041.07+2569.38+26219.5</f>
        <v>45829.95</v>
      </c>
      <c r="E944" s="1"/>
    </row>
    <row r="945" spans="2:5" x14ac:dyDescent="0.3">
      <c r="B945" s="69" t="s">
        <v>80</v>
      </c>
      <c r="C945" s="70"/>
      <c r="D945" s="1">
        <f>2868.64+16602.39</f>
        <v>19471.03</v>
      </c>
      <c r="E945" s="1"/>
    </row>
    <row r="946" spans="2:5" ht="15.6" x14ac:dyDescent="0.3">
      <c r="B946" s="69" t="s">
        <v>384</v>
      </c>
      <c r="C946" s="70"/>
      <c r="D946" s="32">
        <v>4686.71</v>
      </c>
      <c r="E946" s="1"/>
    </row>
    <row r="947" spans="2:5" x14ac:dyDescent="0.3">
      <c r="B947" s="69"/>
      <c r="C947" s="70"/>
      <c r="D947" s="1">
        <v>0</v>
      </c>
      <c r="E947" s="1"/>
    </row>
    <row r="948" spans="2:5" x14ac:dyDescent="0.3">
      <c r="B948" s="60" t="s">
        <v>40</v>
      </c>
      <c r="C948" s="51"/>
      <c r="D948" s="1">
        <v>0</v>
      </c>
      <c r="E948" s="1"/>
    </row>
    <row r="949" spans="2:5" ht="15.6" x14ac:dyDescent="0.3">
      <c r="B949" s="52" t="s">
        <v>270</v>
      </c>
      <c r="C949" s="51"/>
      <c r="D949" s="34">
        <v>2675.21</v>
      </c>
      <c r="E949" s="1"/>
    </row>
    <row r="950" spans="2:5" x14ac:dyDescent="0.3">
      <c r="B950" s="52"/>
      <c r="C950" s="51"/>
      <c r="D950" s="1">
        <v>0</v>
      </c>
      <c r="E950" s="1"/>
    </row>
    <row r="951" spans="2:5" x14ac:dyDescent="0.3">
      <c r="B951" s="61" t="s">
        <v>47</v>
      </c>
      <c r="C951" s="51"/>
      <c r="D951" s="1">
        <v>0</v>
      </c>
      <c r="E951" s="1"/>
    </row>
    <row r="952" spans="2:5" ht="15.6" x14ac:dyDescent="0.3">
      <c r="B952" s="52" t="s">
        <v>369</v>
      </c>
      <c r="C952" s="51"/>
      <c r="D952" s="34">
        <v>79.2</v>
      </c>
      <c r="E952" s="1"/>
    </row>
    <row r="953" spans="2:5" ht="15.6" x14ac:dyDescent="0.3">
      <c r="B953" s="52" t="s">
        <v>381</v>
      </c>
      <c r="C953" s="51"/>
      <c r="D953" s="34">
        <f>1526.13+314.8</f>
        <v>1840.93</v>
      </c>
      <c r="E953" s="1"/>
    </row>
    <row r="954" spans="2:5" x14ac:dyDescent="0.3">
      <c r="B954" s="52"/>
      <c r="C954" s="51"/>
      <c r="D954" s="1">
        <v>0</v>
      </c>
      <c r="E954" s="1"/>
    </row>
    <row r="955" spans="2:5" x14ac:dyDescent="0.3">
      <c r="B955" s="56" t="s">
        <v>52</v>
      </c>
      <c r="C955" s="57"/>
      <c r="D955" s="1">
        <v>0</v>
      </c>
      <c r="E955" s="1"/>
    </row>
    <row r="956" spans="2:5" x14ac:dyDescent="0.3">
      <c r="B956" s="52" t="s">
        <v>53</v>
      </c>
      <c r="C956" s="51"/>
      <c r="D956" s="1"/>
      <c r="E956" s="1"/>
    </row>
    <row r="957" spans="2:5" ht="15.6" x14ac:dyDescent="0.3">
      <c r="B957" s="52" t="s">
        <v>382</v>
      </c>
      <c r="C957" s="51"/>
      <c r="D957" s="34">
        <v>6881.05</v>
      </c>
      <c r="E957" s="1"/>
    </row>
    <row r="958" spans="2:5" x14ac:dyDescent="0.3">
      <c r="B958" s="59" t="s">
        <v>42</v>
      </c>
      <c r="C958" s="51"/>
      <c r="D958" s="3">
        <f>SUM(D943:D957)</f>
        <v>81464.08</v>
      </c>
      <c r="E958" s="1"/>
    </row>
    <row r="959" spans="2:5" x14ac:dyDescent="0.3">
      <c r="B959" s="14"/>
      <c r="C959" s="14"/>
      <c r="D959" s="14"/>
      <c r="E959" s="14"/>
    </row>
    <row r="960" spans="2:5" x14ac:dyDescent="0.3">
      <c r="B960" t="s">
        <v>11</v>
      </c>
    </row>
    <row r="961" spans="2:5" x14ac:dyDescent="0.3">
      <c r="B961" t="s">
        <v>12</v>
      </c>
      <c r="C961" t="s">
        <v>13</v>
      </c>
    </row>
    <row r="968" spans="2:5" ht="15.6" x14ac:dyDescent="0.3">
      <c r="C968" s="4" t="s">
        <v>6</v>
      </c>
      <c r="D968" s="4"/>
    </row>
    <row r="969" spans="2:5" x14ac:dyDescent="0.3">
      <c r="B969" s="5" t="s">
        <v>7</v>
      </c>
      <c r="C969" s="5"/>
      <c r="D969" s="5"/>
      <c r="E969" s="5"/>
    </row>
    <row r="970" spans="2:5" x14ac:dyDescent="0.3">
      <c r="B970" s="5"/>
      <c r="C970" s="5" t="s">
        <v>30</v>
      </c>
      <c r="D970" s="5"/>
      <c r="E970" s="5"/>
    </row>
    <row r="971" spans="2:5" x14ac:dyDescent="0.3">
      <c r="B971" t="s">
        <v>163</v>
      </c>
      <c r="C971" t="s">
        <v>176</v>
      </c>
      <c r="D971" s="6">
        <v>38</v>
      </c>
    </row>
    <row r="974" spans="2:5" ht="28.8" x14ac:dyDescent="0.3">
      <c r="B974" s="1" t="s">
        <v>0</v>
      </c>
      <c r="C974" s="2" t="s">
        <v>1</v>
      </c>
      <c r="D974" s="2" t="s">
        <v>2</v>
      </c>
      <c r="E974" s="2" t="s">
        <v>3</v>
      </c>
    </row>
    <row r="975" spans="2:5" x14ac:dyDescent="0.3">
      <c r="B975" s="3" t="s">
        <v>4</v>
      </c>
      <c r="C975" s="1">
        <v>145574.22</v>
      </c>
      <c r="D975" s="1">
        <v>129678.51</v>
      </c>
      <c r="E975" s="1">
        <v>107872.07</v>
      </c>
    </row>
    <row r="976" spans="2:5" x14ac:dyDescent="0.3">
      <c r="B976" s="49" t="s">
        <v>10</v>
      </c>
      <c r="C976" s="50"/>
      <c r="D976" s="51"/>
      <c r="E976" s="1">
        <f>C975-E975</f>
        <v>37702.149999999994</v>
      </c>
    </row>
    <row r="978" spans="2:5" ht="28.8" x14ac:dyDescent="0.3">
      <c r="B978" s="60" t="s">
        <v>37</v>
      </c>
      <c r="C978" s="51"/>
      <c r="D978" s="21" t="s">
        <v>41</v>
      </c>
      <c r="E978" s="3"/>
    </row>
    <row r="979" spans="2:5" x14ac:dyDescent="0.3">
      <c r="B979" s="60" t="s">
        <v>38</v>
      </c>
      <c r="C979" s="51"/>
      <c r="D979" s="1">
        <v>0</v>
      </c>
      <c r="E979" s="1"/>
    </row>
    <row r="980" spans="2:5" ht="15.6" x14ac:dyDescent="0.3">
      <c r="B980" s="52" t="s">
        <v>385</v>
      </c>
      <c r="C980" s="51"/>
      <c r="D980" s="36">
        <v>4404.0600000000004</v>
      </c>
      <c r="E980" s="1"/>
    </row>
    <row r="981" spans="2:5" x14ac:dyDescent="0.3">
      <c r="B981" s="52"/>
      <c r="C981" s="51"/>
      <c r="D981" s="1">
        <v>0</v>
      </c>
      <c r="E981" s="1"/>
    </row>
    <row r="982" spans="2:5" x14ac:dyDescent="0.3">
      <c r="B982" s="60" t="s">
        <v>40</v>
      </c>
      <c r="C982" s="51"/>
      <c r="D982" s="1">
        <v>0</v>
      </c>
      <c r="E982" s="1"/>
    </row>
    <row r="983" spans="2:5" x14ac:dyDescent="0.3">
      <c r="B983" s="52" t="s">
        <v>387</v>
      </c>
      <c r="C983" s="51"/>
      <c r="D983" s="1">
        <f>33049.17+18135.99</f>
        <v>51185.16</v>
      </c>
      <c r="E983" s="1"/>
    </row>
    <row r="984" spans="2:5" x14ac:dyDescent="0.3">
      <c r="B984" s="52"/>
      <c r="C984" s="51"/>
      <c r="D984" s="1">
        <v>0</v>
      </c>
      <c r="E984" s="1"/>
    </row>
    <row r="985" spans="2:5" x14ac:dyDescent="0.3">
      <c r="B985" s="61" t="s">
        <v>47</v>
      </c>
      <c r="C985" s="51"/>
      <c r="D985" s="1">
        <v>0</v>
      </c>
      <c r="E985" s="1"/>
    </row>
    <row r="986" spans="2:5" ht="15.6" x14ac:dyDescent="0.3">
      <c r="B986" s="52" t="s">
        <v>386</v>
      </c>
      <c r="C986" s="51"/>
      <c r="D986" s="35">
        <v>35740</v>
      </c>
      <c r="E986" s="1"/>
    </row>
    <row r="987" spans="2:5" ht="15.6" x14ac:dyDescent="0.3">
      <c r="B987" s="52" t="s">
        <v>388</v>
      </c>
      <c r="C987" s="51"/>
      <c r="D987" s="32">
        <v>1496.45</v>
      </c>
      <c r="E987" s="1"/>
    </row>
    <row r="988" spans="2:5" x14ac:dyDescent="0.3">
      <c r="B988" s="52"/>
      <c r="C988" s="51"/>
      <c r="D988" s="1">
        <v>0</v>
      </c>
      <c r="E988" s="1"/>
    </row>
    <row r="989" spans="2:5" x14ac:dyDescent="0.3">
      <c r="B989" s="56" t="s">
        <v>52</v>
      </c>
      <c r="C989" s="57"/>
      <c r="D989" s="1">
        <v>0</v>
      </c>
      <c r="E989" s="1"/>
    </row>
    <row r="990" spans="2:5" ht="15.6" x14ac:dyDescent="0.3">
      <c r="B990" s="52" t="s">
        <v>53</v>
      </c>
      <c r="C990" s="51"/>
      <c r="D990" s="34">
        <v>15046.4</v>
      </c>
      <c r="E990" s="1"/>
    </row>
    <row r="991" spans="2:5" x14ac:dyDescent="0.3">
      <c r="B991" s="52"/>
      <c r="C991" s="51"/>
      <c r="D991" s="1">
        <v>0</v>
      </c>
      <c r="E991" s="1"/>
    </row>
    <row r="992" spans="2:5" x14ac:dyDescent="0.3">
      <c r="B992" s="59" t="s">
        <v>42</v>
      </c>
      <c r="C992" s="51"/>
      <c r="D992" s="3">
        <f>SUM(D979:D991)</f>
        <v>107872.06999999999</v>
      </c>
      <c r="E992" s="1"/>
    </row>
    <row r="993" spans="2:5" x14ac:dyDescent="0.3">
      <c r="B993" s="14"/>
      <c r="C993" s="14"/>
      <c r="D993" s="14"/>
      <c r="E993" s="14"/>
    </row>
    <row r="994" spans="2:5" x14ac:dyDescent="0.3">
      <c r="B994" t="s">
        <v>11</v>
      </c>
    </row>
    <row r="995" spans="2:5" x14ac:dyDescent="0.3">
      <c r="B995" t="s">
        <v>12</v>
      </c>
      <c r="C995" t="s">
        <v>13</v>
      </c>
    </row>
  </sheetData>
  <mergeCells count="493">
    <mergeCell ref="B846:C846"/>
    <mergeCell ref="B847:C847"/>
    <mergeCell ref="B848:C848"/>
    <mergeCell ref="B849:C849"/>
    <mergeCell ref="B884:C884"/>
    <mergeCell ref="B885:C885"/>
    <mergeCell ref="B944:C944"/>
    <mergeCell ref="B945:C945"/>
    <mergeCell ref="B11:D11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43:D43"/>
    <mergeCell ref="B45:C45"/>
    <mergeCell ref="B18:C18"/>
    <mergeCell ref="B19:C19"/>
    <mergeCell ref="B20:C20"/>
    <mergeCell ref="B21:C21"/>
    <mergeCell ref="B22:C22"/>
    <mergeCell ref="B23:C2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81:C81"/>
    <mergeCell ref="B82:C82"/>
    <mergeCell ref="B83:C83"/>
    <mergeCell ref="B84:C84"/>
    <mergeCell ref="B87:C87"/>
    <mergeCell ref="B88:C88"/>
    <mergeCell ref="B58:C58"/>
    <mergeCell ref="B59:C59"/>
    <mergeCell ref="B76:D76"/>
    <mergeCell ref="B78:C78"/>
    <mergeCell ref="B79:C79"/>
    <mergeCell ref="B80:C80"/>
    <mergeCell ref="B85:C85"/>
    <mergeCell ref="B86:C86"/>
    <mergeCell ref="B111:D111"/>
    <mergeCell ref="B113:C113"/>
    <mergeCell ref="B114:C114"/>
    <mergeCell ref="B115:C115"/>
    <mergeCell ref="B116:C116"/>
    <mergeCell ref="B117:C117"/>
    <mergeCell ref="B89:C89"/>
    <mergeCell ref="B90:C90"/>
    <mergeCell ref="B91:C91"/>
    <mergeCell ref="B92:C92"/>
    <mergeCell ref="B93:C93"/>
    <mergeCell ref="B94:C94"/>
    <mergeCell ref="B127:C127"/>
    <mergeCell ref="B128:C128"/>
    <mergeCell ref="B129:C129"/>
    <mergeCell ref="B130:C130"/>
    <mergeCell ref="B147:D147"/>
    <mergeCell ref="B149:C149"/>
    <mergeCell ref="B118:C118"/>
    <mergeCell ref="B122:C122"/>
    <mergeCell ref="B123:C123"/>
    <mergeCell ref="B124:C124"/>
    <mergeCell ref="B125:C125"/>
    <mergeCell ref="B126:C126"/>
    <mergeCell ref="B119:C119"/>
    <mergeCell ref="B120:C120"/>
    <mergeCell ref="B121:C121"/>
    <mergeCell ref="B159:C159"/>
    <mergeCell ref="B160:C160"/>
    <mergeCell ref="B161:C161"/>
    <mergeCell ref="B162:C162"/>
    <mergeCell ref="B163:C163"/>
    <mergeCell ref="B164:C164"/>
    <mergeCell ref="B150:C150"/>
    <mergeCell ref="B151:C151"/>
    <mergeCell ref="B152:C152"/>
    <mergeCell ref="B154:C154"/>
    <mergeCell ref="B155:C155"/>
    <mergeCell ref="B156:C156"/>
    <mergeCell ref="B153:C153"/>
    <mergeCell ref="B157:C157"/>
    <mergeCell ref="B187:C187"/>
    <mergeCell ref="B188:C188"/>
    <mergeCell ref="B189:C189"/>
    <mergeCell ref="B190:C190"/>
    <mergeCell ref="B191:C191"/>
    <mergeCell ref="B192:C192"/>
    <mergeCell ref="B165:C165"/>
    <mergeCell ref="B166:C166"/>
    <mergeCell ref="B182:D182"/>
    <mergeCell ref="B184:C184"/>
    <mergeCell ref="B185:C185"/>
    <mergeCell ref="B186:C186"/>
    <mergeCell ref="B219:D219"/>
    <mergeCell ref="B221:C221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32:C232"/>
    <mergeCell ref="B233:C233"/>
    <mergeCell ref="B234:C234"/>
    <mergeCell ref="B235:C235"/>
    <mergeCell ref="B255:D255"/>
    <mergeCell ref="B257:C257"/>
    <mergeCell ref="B226:C226"/>
    <mergeCell ref="B227:C227"/>
    <mergeCell ref="B228:C228"/>
    <mergeCell ref="B229:C229"/>
    <mergeCell ref="B230:C230"/>
    <mergeCell ref="B231:C231"/>
    <mergeCell ref="B236:C236"/>
    <mergeCell ref="B237:C237"/>
    <mergeCell ref="B238:C238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94:C294"/>
    <mergeCell ref="B295:C295"/>
    <mergeCell ref="B296:C296"/>
    <mergeCell ref="B297:C297"/>
    <mergeCell ref="B298:C298"/>
    <mergeCell ref="B299:C299"/>
    <mergeCell ref="B270:C270"/>
    <mergeCell ref="B271:C271"/>
    <mergeCell ref="B289:D289"/>
    <mergeCell ref="B291:C291"/>
    <mergeCell ref="B292:C292"/>
    <mergeCell ref="B293:C293"/>
    <mergeCell ref="B322:D322"/>
    <mergeCell ref="B324:C324"/>
    <mergeCell ref="B325:C325"/>
    <mergeCell ref="B326:C326"/>
    <mergeCell ref="B327:C327"/>
    <mergeCell ref="B328:C328"/>
    <mergeCell ref="B300:C300"/>
    <mergeCell ref="B301:C301"/>
    <mergeCell ref="B302:C302"/>
    <mergeCell ref="B303:C303"/>
    <mergeCell ref="B304:C304"/>
    <mergeCell ref="B305:C305"/>
    <mergeCell ref="B335:C335"/>
    <mergeCell ref="B336:C336"/>
    <mergeCell ref="B337:C337"/>
    <mergeCell ref="B338:C338"/>
    <mergeCell ref="B357:D357"/>
    <mergeCell ref="B359:C359"/>
    <mergeCell ref="B329:C329"/>
    <mergeCell ref="B330:C330"/>
    <mergeCell ref="B331:C331"/>
    <mergeCell ref="B332:C332"/>
    <mergeCell ref="B333:C333"/>
    <mergeCell ref="B334:C334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94:C394"/>
    <mergeCell ref="B395:C395"/>
    <mergeCell ref="B396:C396"/>
    <mergeCell ref="B397:C397"/>
    <mergeCell ref="B398:C398"/>
    <mergeCell ref="B399:C399"/>
    <mergeCell ref="B372:C372"/>
    <mergeCell ref="B373:C373"/>
    <mergeCell ref="B389:D389"/>
    <mergeCell ref="B391:C391"/>
    <mergeCell ref="B392:C392"/>
    <mergeCell ref="B393:C393"/>
    <mergeCell ref="B423:D423"/>
    <mergeCell ref="B425:C425"/>
    <mergeCell ref="B426:C426"/>
    <mergeCell ref="B427:C427"/>
    <mergeCell ref="B428:C428"/>
    <mergeCell ref="B429:C429"/>
    <mergeCell ref="B400:C400"/>
    <mergeCell ref="B401:C401"/>
    <mergeCell ref="B402:C402"/>
    <mergeCell ref="B403:C403"/>
    <mergeCell ref="B404:C404"/>
    <mergeCell ref="B405:C405"/>
    <mergeCell ref="B436:C436"/>
    <mergeCell ref="B437:C437"/>
    <mergeCell ref="B438:C438"/>
    <mergeCell ref="B439:C439"/>
    <mergeCell ref="B457:D457"/>
    <mergeCell ref="B459:C459"/>
    <mergeCell ref="B430:C430"/>
    <mergeCell ref="B431:C431"/>
    <mergeCell ref="B432:C432"/>
    <mergeCell ref="B433:C433"/>
    <mergeCell ref="B434:C434"/>
    <mergeCell ref="B435:C435"/>
    <mergeCell ref="B467:C467"/>
    <mergeCell ref="B468:C468"/>
    <mergeCell ref="B469:C469"/>
    <mergeCell ref="B470:C470"/>
    <mergeCell ref="B471:C471"/>
    <mergeCell ref="B472:C472"/>
    <mergeCell ref="B460:C460"/>
    <mergeCell ref="B461:C461"/>
    <mergeCell ref="B462:C462"/>
    <mergeCell ref="B463:C463"/>
    <mergeCell ref="B464:C464"/>
    <mergeCell ref="B465:C465"/>
    <mergeCell ref="B466:C466"/>
    <mergeCell ref="B497:C497"/>
    <mergeCell ref="B498:C498"/>
    <mergeCell ref="B499:C499"/>
    <mergeCell ref="B500:C500"/>
    <mergeCell ref="B501:C501"/>
    <mergeCell ref="B502:C502"/>
    <mergeCell ref="B473:C473"/>
    <mergeCell ref="B474:C474"/>
    <mergeCell ref="B492:D492"/>
    <mergeCell ref="B494:C494"/>
    <mergeCell ref="B495:C495"/>
    <mergeCell ref="B496:C496"/>
    <mergeCell ref="B526:D526"/>
    <mergeCell ref="B528:C528"/>
    <mergeCell ref="B529:C529"/>
    <mergeCell ref="B530:C530"/>
    <mergeCell ref="B531:C531"/>
    <mergeCell ref="B532:C532"/>
    <mergeCell ref="B503:C503"/>
    <mergeCell ref="B504:C504"/>
    <mergeCell ref="B505:C505"/>
    <mergeCell ref="B506:C506"/>
    <mergeCell ref="B507:C507"/>
    <mergeCell ref="B508:C508"/>
    <mergeCell ref="B539:C539"/>
    <mergeCell ref="B540:C540"/>
    <mergeCell ref="B541:C541"/>
    <mergeCell ref="B542:C542"/>
    <mergeCell ref="B560:D560"/>
    <mergeCell ref="B562:C562"/>
    <mergeCell ref="B533:C533"/>
    <mergeCell ref="B534:C534"/>
    <mergeCell ref="B535:C535"/>
    <mergeCell ref="B536:C536"/>
    <mergeCell ref="B537:C537"/>
    <mergeCell ref="B538:C538"/>
    <mergeCell ref="B569:C569"/>
    <mergeCell ref="B570:C570"/>
    <mergeCell ref="B571:C571"/>
    <mergeCell ref="B572:C572"/>
    <mergeCell ref="B573:C573"/>
    <mergeCell ref="B574:C574"/>
    <mergeCell ref="B563:C563"/>
    <mergeCell ref="B564:C564"/>
    <mergeCell ref="B565:C565"/>
    <mergeCell ref="B566:C566"/>
    <mergeCell ref="B567:C567"/>
    <mergeCell ref="B568:C568"/>
    <mergeCell ref="B599:C599"/>
    <mergeCell ref="B600:C600"/>
    <mergeCell ref="B601:C601"/>
    <mergeCell ref="B602:C602"/>
    <mergeCell ref="B604:C604"/>
    <mergeCell ref="B605:C605"/>
    <mergeCell ref="B575:C575"/>
    <mergeCell ref="B576:C576"/>
    <mergeCell ref="B594:D594"/>
    <mergeCell ref="B596:C596"/>
    <mergeCell ref="B597:C597"/>
    <mergeCell ref="B598:C598"/>
    <mergeCell ref="B603:C603"/>
    <mergeCell ref="B629:D629"/>
    <mergeCell ref="B631:C631"/>
    <mergeCell ref="B632:C632"/>
    <mergeCell ref="B633:C633"/>
    <mergeCell ref="B634:C634"/>
    <mergeCell ref="B635:C635"/>
    <mergeCell ref="B606:C606"/>
    <mergeCell ref="B607:C607"/>
    <mergeCell ref="B608:C608"/>
    <mergeCell ref="B609:C609"/>
    <mergeCell ref="B610:C610"/>
    <mergeCell ref="B611:C611"/>
    <mergeCell ref="B642:C642"/>
    <mergeCell ref="B643:C643"/>
    <mergeCell ref="B644:C644"/>
    <mergeCell ref="B645:C645"/>
    <mergeCell ref="B663:D663"/>
    <mergeCell ref="B665:C665"/>
    <mergeCell ref="B636:C636"/>
    <mergeCell ref="B637:C637"/>
    <mergeCell ref="B638:C638"/>
    <mergeCell ref="B639:C639"/>
    <mergeCell ref="B640:C640"/>
    <mergeCell ref="B641:C641"/>
    <mergeCell ref="B675:C675"/>
    <mergeCell ref="B676:C676"/>
    <mergeCell ref="B677:C677"/>
    <mergeCell ref="B678:C678"/>
    <mergeCell ref="B679:C679"/>
    <mergeCell ref="B680:C680"/>
    <mergeCell ref="B666:C666"/>
    <mergeCell ref="B667:C667"/>
    <mergeCell ref="B668:C668"/>
    <mergeCell ref="B672:C672"/>
    <mergeCell ref="B673:C673"/>
    <mergeCell ref="B674:C674"/>
    <mergeCell ref="B669:C669"/>
    <mergeCell ref="B706:C706"/>
    <mergeCell ref="B707:C707"/>
    <mergeCell ref="B708:C708"/>
    <mergeCell ref="B709:C709"/>
    <mergeCell ref="B711:C711"/>
    <mergeCell ref="B712:C712"/>
    <mergeCell ref="B681:C681"/>
    <mergeCell ref="B682:C682"/>
    <mergeCell ref="B701:D701"/>
    <mergeCell ref="B703:C703"/>
    <mergeCell ref="B704:C704"/>
    <mergeCell ref="B705:C705"/>
    <mergeCell ref="B710:C710"/>
    <mergeCell ref="B734:D734"/>
    <mergeCell ref="B736:C736"/>
    <mergeCell ref="B737:C737"/>
    <mergeCell ref="B738:C738"/>
    <mergeCell ref="B739:C739"/>
    <mergeCell ref="B740:C740"/>
    <mergeCell ref="B713:C713"/>
    <mergeCell ref="B714:C714"/>
    <mergeCell ref="B715:C715"/>
    <mergeCell ref="B716:C716"/>
    <mergeCell ref="B717:C717"/>
    <mergeCell ref="B718:C718"/>
    <mergeCell ref="B747:C747"/>
    <mergeCell ref="B748:C748"/>
    <mergeCell ref="B749:C749"/>
    <mergeCell ref="B751:C751"/>
    <mergeCell ref="B767:D767"/>
    <mergeCell ref="B769:C769"/>
    <mergeCell ref="B741:C741"/>
    <mergeCell ref="B742:C742"/>
    <mergeCell ref="B743:C743"/>
    <mergeCell ref="B744:C744"/>
    <mergeCell ref="B745:C745"/>
    <mergeCell ref="B746:C746"/>
    <mergeCell ref="B780:C780"/>
    <mergeCell ref="B781:C781"/>
    <mergeCell ref="B782:C782"/>
    <mergeCell ref="B783:C783"/>
    <mergeCell ref="B784:C784"/>
    <mergeCell ref="B785:C785"/>
    <mergeCell ref="B770:C770"/>
    <mergeCell ref="B771:C771"/>
    <mergeCell ref="B772:C772"/>
    <mergeCell ref="B773:C773"/>
    <mergeCell ref="B774:C774"/>
    <mergeCell ref="B775:C775"/>
    <mergeCell ref="B778:C778"/>
    <mergeCell ref="B779:C779"/>
    <mergeCell ref="B776:C776"/>
    <mergeCell ref="B777:C777"/>
    <mergeCell ref="B808:C808"/>
    <mergeCell ref="B810:C810"/>
    <mergeCell ref="B811:C811"/>
    <mergeCell ref="B813:C813"/>
    <mergeCell ref="B816:C816"/>
    <mergeCell ref="B817:C817"/>
    <mergeCell ref="B786:C786"/>
    <mergeCell ref="B787:C787"/>
    <mergeCell ref="B803:D803"/>
    <mergeCell ref="B805:C805"/>
    <mergeCell ref="B806:C806"/>
    <mergeCell ref="B807:C807"/>
    <mergeCell ref="B839:D839"/>
    <mergeCell ref="B841:C841"/>
    <mergeCell ref="B842:C842"/>
    <mergeCell ref="B843:C843"/>
    <mergeCell ref="B844:C844"/>
    <mergeCell ref="B845:C845"/>
    <mergeCell ref="B818:C818"/>
    <mergeCell ref="B819:C819"/>
    <mergeCell ref="B820:C820"/>
    <mergeCell ref="B821:C821"/>
    <mergeCell ref="B822:C822"/>
    <mergeCell ref="B823:C823"/>
    <mergeCell ref="B856:C856"/>
    <mergeCell ref="B857:C857"/>
    <mergeCell ref="B858:C858"/>
    <mergeCell ref="B859:C859"/>
    <mergeCell ref="B875:D875"/>
    <mergeCell ref="B877:C877"/>
    <mergeCell ref="B850:C850"/>
    <mergeCell ref="B851:C851"/>
    <mergeCell ref="B852:C852"/>
    <mergeCell ref="B853:C853"/>
    <mergeCell ref="B854:C854"/>
    <mergeCell ref="B855:C855"/>
    <mergeCell ref="B886:C886"/>
    <mergeCell ref="B887:C887"/>
    <mergeCell ref="B888:C888"/>
    <mergeCell ref="B889:C889"/>
    <mergeCell ref="B890:C890"/>
    <mergeCell ref="B891:C891"/>
    <mergeCell ref="B878:C878"/>
    <mergeCell ref="B879:C879"/>
    <mergeCell ref="B880:C880"/>
    <mergeCell ref="B881:C881"/>
    <mergeCell ref="B882:C882"/>
    <mergeCell ref="B883:C883"/>
    <mergeCell ref="B913:C913"/>
    <mergeCell ref="B914:C914"/>
    <mergeCell ref="B915:C915"/>
    <mergeCell ref="B916:C916"/>
    <mergeCell ref="B917:C917"/>
    <mergeCell ref="B918:C918"/>
    <mergeCell ref="B892:C892"/>
    <mergeCell ref="B893:C893"/>
    <mergeCell ref="B908:D908"/>
    <mergeCell ref="B910:C910"/>
    <mergeCell ref="B911:C911"/>
    <mergeCell ref="B912:C912"/>
    <mergeCell ref="B940:D940"/>
    <mergeCell ref="B942:C942"/>
    <mergeCell ref="B943:C943"/>
    <mergeCell ref="B946:C946"/>
    <mergeCell ref="B947:C947"/>
    <mergeCell ref="B948:C948"/>
    <mergeCell ref="B919:C919"/>
    <mergeCell ref="B920:C920"/>
    <mergeCell ref="B921:C921"/>
    <mergeCell ref="B922:C922"/>
    <mergeCell ref="B923:C923"/>
    <mergeCell ref="B924:C924"/>
    <mergeCell ref="B955:C955"/>
    <mergeCell ref="B956:C956"/>
    <mergeCell ref="B957:C957"/>
    <mergeCell ref="B958:C958"/>
    <mergeCell ref="B976:D976"/>
    <mergeCell ref="B978:C978"/>
    <mergeCell ref="B949:C949"/>
    <mergeCell ref="B950:C950"/>
    <mergeCell ref="B951:C951"/>
    <mergeCell ref="B952:C952"/>
    <mergeCell ref="B953:C953"/>
    <mergeCell ref="B954:C954"/>
    <mergeCell ref="B991:C991"/>
    <mergeCell ref="B992:C992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подлужный,энгельса,сосновая</vt:lpstr>
      <vt:lpstr>баринова</vt:lpstr>
      <vt:lpstr>в.котика</vt:lpstr>
      <vt:lpstr>задолье</vt:lpstr>
      <vt:lpstr>западная</vt:lpstr>
      <vt:lpstr>коммунистическая</vt:lpstr>
      <vt:lpstr>пер.,ул.Лихачева</vt:lpstr>
      <vt:lpstr>максимова</vt:lpstr>
      <vt:lpstr>махалова</vt:lpstr>
      <vt:lpstr>маяковского</vt:lpstr>
      <vt:lpstr>мира</vt:lpstr>
      <vt:lpstr>чугунова</vt:lpstr>
      <vt:lpstr>прибрежный</vt:lpstr>
      <vt:lpstr>1-й уч. ситники</vt:lpstr>
      <vt:lpstr>п.сит. ул.центральная</vt:lpstr>
      <vt:lpstr>п.жел. ул.ценртальная</vt:lpstr>
      <vt:lpstr>вокзальная</vt:lpstr>
      <vt:lpstr>киселихинский госпиталь</vt:lpstr>
      <vt:lpstr>садовая</vt:lpstr>
      <vt:lpstr>приречный</vt:lpstr>
      <vt:lpstr>октябрьская</vt:lpstr>
      <vt:lpstr>новостройка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2016-06-20T07:02:41Z</dcterms:modified>
</cp:coreProperties>
</file>